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550686_uni_au_dk/Documents/Documents/Fravær/"/>
    </mc:Choice>
  </mc:AlternateContent>
  <xr:revisionPtr revIDLastSave="17" documentId="11_B76854FD309EF3390D83A4D28B8F813EF221EBEE" xr6:coauthVersionLast="47" xr6:coauthVersionMax="47" xr10:uidLastSave="{545369C6-01EB-4CF9-B6FB-A395FB478BDA}"/>
  <bookViews>
    <workbookView xWindow="28680" yWindow="-120" windowWidth="29040" windowHeight="17520" xr2:uid="{00000000-000D-0000-FFFF-FFFF00000000}"/>
  </bookViews>
  <sheets>
    <sheet name="Calculation" sheetId="1" r:id="rId1"/>
    <sheet name="Hidd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E31" i="1" l="1"/>
  <c r="L30" i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29" i="1"/>
  <c r="N28" i="1"/>
  <c r="U27" i="1"/>
  <c r="L7" i="1"/>
  <c r="E6" i="1"/>
  <c r="J29" i="1" s="1"/>
  <c r="J30" i="1" s="1"/>
  <c r="H3" i="1"/>
  <c r="E3" i="1"/>
  <c r="C15" i="1" l="1"/>
  <c r="J5" i="1" s="1"/>
  <c r="K5" i="1" s="1"/>
  <c r="J31" i="1"/>
  <c r="K26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N7" i="1"/>
  <c r="G15" i="1" s="1"/>
  <c r="L8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C16" i="1" l="1"/>
  <c r="C17" i="1" s="1"/>
  <c r="J32" i="1"/>
  <c r="J33" i="1" l="1"/>
  <c r="C18" i="1"/>
  <c r="C19" i="1" l="1"/>
  <c r="J34" i="1"/>
  <c r="C20" i="1" l="1"/>
  <c r="J35" i="1"/>
  <c r="J36" i="1" l="1"/>
  <c r="C21" i="1"/>
  <c r="C22" i="1" l="1"/>
  <c r="J37" i="1"/>
  <c r="J38" i="1" l="1"/>
  <c r="C23" i="1"/>
  <c r="C24" i="1" l="1"/>
  <c r="J39" i="1"/>
  <c r="J40" i="1" l="1"/>
  <c r="C25" i="1"/>
  <c r="C26" i="1" l="1"/>
  <c r="K27" i="1"/>
  <c r="C27" i="1" l="1"/>
  <c r="J6" i="1"/>
  <c r="K29" i="1"/>
  <c r="N29" i="1" s="1"/>
  <c r="K30" i="1" l="1"/>
  <c r="K6" i="1"/>
  <c r="J8" i="1"/>
  <c r="J9" i="1" s="1"/>
  <c r="J10" i="1" s="1"/>
  <c r="J11" i="1" s="1"/>
  <c r="J12" i="1" s="1"/>
  <c r="J13" i="1" s="1"/>
  <c r="C28" i="1"/>
  <c r="J14" i="1" l="1"/>
  <c r="K8" i="1"/>
  <c r="N8" i="1" s="1"/>
  <c r="C29" i="1"/>
  <c r="N30" i="1"/>
  <c r="K31" i="1"/>
  <c r="K9" i="1" l="1"/>
  <c r="K10" i="1" s="1"/>
  <c r="J15" i="1"/>
  <c r="C30" i="1"/>
  <c r="N31" i="1"/>
  <c r="K32" i="1"/>
  <c r="N9" i="1" l="1"/>
  <c r="G16" i="1"/>
  <c r="G17" i="1" s="1"/>
  <c r="N10" i="1"/>
  <c r="K11" i="1"/>
  <c r="J16" i="1"/>
  <c r="N32" i="1"/>
  <c r="K33" i="1"/>
  <c r="N11" i="1" l="1"/>
  <c r="K12" i="1"/>
  <c r="G18" i="1"/>
  <c r="J17" i="1"/>
  <c r="N33" i="1"/>
  <c r="K34" i="1"/>
  <c r="G19" i="1" l="1"/>
  <c r="N12" i="1"/>
  <c r="K13" i="1"/>
  <c r="N34" i="1"/>
  <c r="K35" i="1"/>
  <c r="J18" i="1"/>
  <c r="G20" i="1" l="1"/>
  <c r="K14" i="1"/>
  <c r="N13" i="1"/>
  <c r="N35" i="1"/>
  <c r="K36" i="1"/>
  <c r="J19" i="1"/>
  <c r="K15" i="1" l="1"/>
  <c r="N14" i="1"/>
  <c r="G21" i="1"/>
  <c r="N36" i="1"/>
  <c r="K37" i="1"/>
  <c r="J20" i="1"/>
  <c r="K16" i="1" l="1"/>
  <c r="G22" i="1"/>
  <c r="N15" i="1"/>
  <c r="N37" i="1"/>
  <c r="K38" i="1"/>
  <c r="J21" i="1"/>
  <c r="K17" i="1" l="1"/>
  <c r="K18" i="1" s="1"/>
  <c r="N16" i="1"/>
  <c r="G23" i="1"/>
  <c r="N38" i="1"/>
  <c r="K39" i="1"/>
  <c r="J22" i="1"/>
  <c r="K19" i="1" l="1"/>
  <c r="N18" i="1"/>
  <c r="G24" i="1"/>
  <c r="G25" i="1" s="1"/>
  <c r="N17" i="1"/>
  <c r="N39" i="1"/>
  <c r="K40" i="1"/>
  <c r="G26" i="1" l="1"/>
  <c r="K20" i="1"/>
  <c r="N19" i="1"/>
  <c r="N40" i="1"/>
  <c r="U10" i="1"/>
  <c r="W15" i="1" s="1"/>
  <c r="K21" i="1" l="1"/>
  <c r="N20" i="1"/>
  <c r="G27" i="1"/>
  <c r="W16" i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G28" i="1" l="1"/>
  <c r="K22" i="1"/>
  <c r="N22" i="1" s="1"/>
  <c r="N21" i="1"/>
  <c r="G29" i="1" l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Nykola Jones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Enter the start date of employment at AU to correctly calculate the holiday accrued for the year</t>
        </r>
      </text>
    </comment>
    <comment ref="H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If employment ends within the year, enter the last day of employment to correctly calculate the accrued holiday.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Select the year(s) for calculation
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2.08 days of holiday are earned each month. An adjustment is made in August of an extra 0.04 to have a round value of 25 days for the year.</t>
        </r>
      </text>
    </comment>
    <comment ref="U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Tip:</t>
        </r>
        <r>
          <rPr>
            <sz val="9"/>
            <color indexed="81"/>
            <rFont val="Tahoma"/>
            <family val="2"/>
          </rPr>
          <t xml:space="preserve">
0.42 days of special holiday are earned each month. </t>
        </r>
      </text>
    </comment>
    <comment ref="E12" authorId="0" shapeId="0" xr:uid="{00000000-0006-0000-0000-000006000000}">
      <text>
        <r>
          <rPr>
            <sz val="9"/>
            <color indexed="81"/>
            <rFont val="Tahoma"/>
            <family val="2"/>
          </rPr>
          <t>Include days here for 
e.g. - childcare days 
       - senior days</t>
        </r>
      </text>
    </comment>
    <comment ref="D1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"Other leave" has to be reported separately from the ordinary holiday, so indicate here when these days are taken.
</t>
        </r>
      </text>
    </comment>
  </commentList>
</comments>
</file>

<file path=xl/sharedStrings.xml><?xml version="1.0" encoding="utf-8"?>
<sst xmlns="http://schemas.openxmlformats.org/spreadsheetml/2006/main" count="58" uniqueCount="49">
  <si>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</si>
  <si>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</si>
  <si>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</si>
  <si>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</si>
  <si>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</si>
  <si>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</si>
  <si>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</si>
  <si>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</si>
  <si>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</si>
  <si>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</si>
  <si>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</si>
  <si>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</si>
  <si>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</si>
  <si>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</si>
  <si>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</si>
  <si>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</si>
  <si>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</si>
  <si>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</si>
  <si>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</si>
  <si>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</si>
  <si>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Employment start date</t>
  </si>
  <si>
    <t>End date</t>
  </si>
  <si>
    <t>Hidden calculation for normal holiday</t>
  </si>
  <si>
    <t>Year</t>
  </si>
  <si>
    <t>days/month</t>
  </si>
  <si>
    <t>Special holiday</t>
  </si>
  <si>
    <t>Days carried over from the previous year:</t>
  </si>
  <si>
    <t>Number of days earned from previous year:</t>
  </si>
  <si>
    <t>Month</t>
  </si>
  <si>
    <t>Purpose (e.g. christmas holiday)</t>
  </si>
  <si>
    <t>Days taken</t>
  </si>
  <si>
    <t>Remaining days</t>
  </si>
  <si>
    <t>Holiday year</t>
  </si>
  <si>
    <t>Holiday spending year</t>
  </si>
  <si>
    <t>Hidden calculation of the special holiday earnt in the previous calendar year</t>
  </si>
  <si>
    <t>From previous year</t>
  </si>
  <si>
    <t>Total available</t>
  </si>
  <si>
    <t>Sum of days taken:</t>
  </si>
  <si>
    <t xml:space="preserve">Special holiday is earnt in the full calendar year (January to December) and can be used in a 12 month period starting from May the following year.
</t>
  </si>
  <si>
    <t xml:space="preserve">The "holiday year" is the 12 month period of September to August the following year where holiday is accrued. 
</t>
  </si>
  <si>
    <t xml:space="preserve">Holiday is earnt and used concurrently in the holiday year and any remaining unused time can be used in the 4 month period to the end of the calendar year.
</t>
  </si>
  <si>
    <t>This 16 month period is the "holiday spending year".</t>
  </si>
  <si>
    <t>Hidden sheet for data validation of years</t>
  </si>
  <si>
    <t>days</t>
  </si>
  <si>
    <t>Ordinary holiday</t>
  </si>
  <si>
    <t>Days carried over from the previous holiday year:</t>
  </si>
  <si>
    <t>Enter the number of days of other leave you may have:</t>
  </si>
  <si>
    <t>Purpose / When taking "other leave" indicate here</t>
  </si>
  <si>
    <t>There must not be a minus value in "Remaining days" at the time you want to take your holiday.
"Remaining days" may not fall under 2,08 (which is the amount you accrue the month before).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</si>
</sst>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-yyyy"/>
    <numFmt numFmtId="165" formatCode="0.00;0.00;0"/>
    <numFmt numFmtId="166" formatCode="0.00_ ;[Red]\-0.00\ "/>
    <numFmt numFmtId="167" formatCode="0.0"/>
    <numFmt numFmtId="168" formatCode="0;0;0"/>
  </numFmts>
  <fonts count="15" x14ac:knownFonts="1"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2"/>
      <name val="Calibri"/>
      <family val="2"/>
    </font>
    <font>
      <i/>
      <sz val="10"/>
      <color theme="1"/>
      <name val="Calibri"/>
      <family val="2"/>
    </font>
    <font>
      <b/>
      <sz val="14"/>
      <color theme="3"/>
      <name val="Calibri"/>
      <family val="2"/>
    </font>
    <font>
      <b/>
      <sz val="12"/>
      <color theme="1"/>
      <name val="Calibri"/>
      <family val="2"/>
    </font>
    <font>
      <b/>
      <sz val="16"/>
      <color theme="3"/>
      <name val="Calibri"/>
      <family val="2"/>
    </font>
    <font>
      <sz val="10"/>
      <name val="Calibri"/>
      <family val="2"/>
    </font>
    <font>
      <sz val="16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/>
      <diagonal/>
    </border>
    <border>
      <left/>
      <right/>
      <top style="double">
        <color theme="8" tint="0.39994506668294322"/>
      </top>
      <bottom/>
      <diagonal/>
    </border>
    <border>
      <left/>
      <right style="double">
        <color theme="8" tint="0.39994506668294322"/>
      </right>
      <top style="double">
        <color theme="8" tint="0.39994506668294322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0.39994506668294322"/>
      </left>
      <right/>
      <top/>
      <bottom/>
      <diagonal/>
    </border>
    <border>
      <left/>
      <right style="double">
        <color theme="8" tint="0.39994506668294322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8" tint="0.39994506668294322"/>
      </left>
      <right/>
      <top/>
      <bottom style="double">
        <color theme="8" tint="0.39994506668294322"/>
      </bottom>
      <diagonal/>
    </border>
    <border>
      <left/>
      <right/>
      <top/>
      <bottom style="double">
        <color theme="8" tint="0.39994506668294322"/>
      </bottom>
      <diagonal/>
    </border>
    <border>
      <left/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84">
    <xf numFmtId="0" fontId="0" fillId="0" borderId="0" xfId="0"/>
    <xf numFmtId="0" fontId="0" fillId="2" borderId="0" xfId="0" applyFill="1"/>
    <xf numFmtId="0" fontId="1" fillId="2" borderId="0" xfId="1" applyFill="1" applyBorder="1" applyAlignment="1" applyProtection="1">
      <alignment horizontal="right"/>
    </xf>
    <xf numFmtId="14" fontId="5" fillId="3" borderId="0" xfId="0" applyNumberFormat="1" applyFont="1" applyFill="1" applyProtection="1">
      <protection locked="0"/>
    </xf>
    <xf numFmtId="14" fontId="6" fillId="2" borderId="0" xfId="0" applyNumberFormat="1" applyFont="1" applyFill="1"/>
    <xf numFmtId="0" fontId="7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8" fillId="2" borderId="0" xfId="2" applyFont="1" applyFill="1" applyBorder="1" applyAlignment="1" applyProtection="1">
      <alignment horizontal="right"/>
    </xf>
    <xf numFmtId="0" fontId="9" fillId="3" borderId="0" xfId="0" applyFont="1" applyFill="1" applyProtection="1">
      <protection locked="0"/>
    </xf>
    <xf numFmtId="164" fontId="0" fillId="2" borderId="7" xfId="0" applyNumberFormat="1" applyFill="1" applyBorder="1"/>
    <xf numFmtId="164" fontId="0" fillId="2" borderId="0" xfId="0" applyNumberFormat="1" applyFill="1"/>
    <xf numFmtId="0" fontId="0" fillId="2" borderId="8" xfId="0" applyFill="1" applyBorder="1"/>
    <xf numFmtId="164" fontId="0" fillId="2" borderId="7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 applyAlignment="1">
      <alignment horizontal="right"/>
    </xf>
    <xf numFmtId="0" fontId="0" fillId="2" borderId="0" xfId="0" applyFill="1" applyProtection="1">
      <protection locked="0"/>
    </xf>
    <xf numFmtId="2" fontId="0" fillId="2" borderId="8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0" fillId="2" borderId="0" xfId="2" applyFont="1" applyFill="1" applyBorder="1" applyAlignment="1" applyProtection="1">
      <alignment horizontal="right"/>
    </xf>
    <xf numFmtId="0" fontId="0" fillId="2" borderId="16" xfId="0" applyFill="1" applyBorder="1"/>
    <xf numFmtId="2" fontId="0" fillId="2" borderId="7" xfId="0" applyNumberFormat="1" applyFill="1" applyBorder="1"/>
    <xf numFmtId="2" fontId="0" fillId="2" borderId="0" xfId="0" applyNumberFormat="1" applyFill="1"/>
    <xf numFmtId="2" fontId="11" fillId="2" borderId="0" xfId="0" applyNumberFormat="1" applyFont="1" applyFill="1"/>
    <xf numFmtId="0" fontId="8" fillId="2" borderId="0" xfId="2" applyFont="1" applyFill="1" applyBorder="1" applyProtection="1"/>
    <xf numFmtId="0" fontId="0" fillId="2" borderId="17" xfId="0" applyFill="1" applyBorder="1"/>
    <xf numFmtId="0" fontId="0" fillId="2" borderId="18" xfId="0" applyFill="1" applyBorder="1"/>
    <xf numFmtId="0" fontId="3" fillId="2" borderId="0" xfId="3" applyFill="1" applyBorder="1" applyAlignment="1" applyProtection="1">
      <alignment horizontal="right"/>
    </xf>
    <xf numFmtId="0" fontId="0" fillId="3" borderId="0" xfId="0" applyFill="1" applyProtection="1">
      <protection locked="0"/>
    </xf>
    <xf numFmtId="0" fontId="3" fillId="2" borderId="0" xfId="3" applyFill="1" applyBorder="1" applyAlignment="1" applyProtection="1">
      <alignment horizontal="center"/>
    </xf>
    <xf numFmtId="164" fontId="0" fillId="2" borderId="0" xfId="0" applyNumberFormat="1" applyFill="1" applyProtection="1"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166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26" xfId="0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65" fontId="4" fillId="2" borderId="0" xfId="0" applyNumberFormat="1" applyFont="1" applyFill="1" applyAlignment="1">
      <alignment horizontal="center"/>
    </xf>
    <xf numFmtId="2" fontId="0" fillId="2" borderId="26" xfId="0" applyNumberFormat="1" applyFill="1" applyBorder="1"/>
    <xf numFmtId="0" fontId="0" fillId="2" borderId="0" xfId="0" applyFill="1" applyAlignment="1">
      <alignment horizontal="center"/>
    </xf>
    <xf numFmtId="164" fontId="0" fillId="2" borderId="25" xfId="0" applyNumberFormat="1" applyFill="1" applyBorder="1" applyProtection="1">
      <protection locked="0"/>
    </xf>
    <xf numFmtId="164" fontId="0" fillId="2" borderId="25" xfId="0" applyNumberFormat="1" applyFill="1" applyBorder="1"/>
    <xf numFmtId="0" fontId="0" fillId="2" borderId="15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164" fontId="0" fillId="2" borderId="31" xfId="0" applyNumberFormat="1" applyFill="1" applyBorder="1"/>
    <xf numFmtId="0" fontId="0" fillId="2" borderId="32" xfId="0" applyFill="1" applyBorder="1"/>
    <xf numFmtId="0" fontId="0" fillId="2" borderId="0" xfId="0" applyFill="1" applyAlignment="1">
      <alignment vertical="top"/>
    </xf>
    <xf numFmtId="164" fontId="0" fillId="2" borderId="33" xfId="0" applyNumberFormat="1" applyFill="1" applyBorder="1"/>
    <xf numFmtId="2" fontId="0" fillId="2" borderId="34" xfId="0" applyNumberFormat="1" applyFill="1" applyBorder="1"/>
    <xf numFmtId="0" fontId="0" fillId="2" borderId="34" xfId="0" applyFill="1" applyBorder="1"/>
    <xf numFmtId="2" fontId="0" fillId="2" borderId="35" xfId="0" applyNumberFormat="1" applyFill="1" applyBorder="1"/>
    <xf numFmtId="0" fontId="0" fillId="4" borderId="0" xfId="0" applyFill="1" applyProtection="1">
      <protection locked="0"/>
    </xf>
    <xf numFmtId="167" fontId="0" fillId="2" borderId="0" xfId="0" applyNumberFormat="1" applyFill="1"/>
    <xf numFmtId="164" fontId="0" fillId="2" borderId="36" xfId="0" applyNumberFormat="1" applyFill="1" applyBorder="1"/>
    <xf numFmtId="0" fontId="0" fillId="4" borderId="36" xfId="0" applyFill="1" applyBorder="1" applyProtection="1">
      <protection locked="0"/>
    </xf>
    <xf numFmtId="166" fontId="0" fillId="5" borderId="0" xfId="0" applyNumberFormat="1" applyFill="1"/>
    <xf numFmtId="167" fontId="0" fillId="5" borderId="0" xfId="0" applyNumberFormat="1" applyFill="1"/>
    <xf numFmtId="166" fontId="0" fillId="0" borderId="0" xfId="0" applyNumberFormat="1"/>
    <xf numFmtId="168" fontId="0" fillId="3" borderId="0" xfId="0" applyNumberFormat="1" applyFill="1" applyAlignment="1" applyProtection="1">
      <alignment horizontal="center"/>
      <protection locked="0"/>
    </xf>
    <xf numFmtId="168" fontId="0" fillId="3" borderId="36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top" wrapText="1"/>
    </xf>
    <xf numFmtId="0" fontId="7" fillId="2" borderId="28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center" vertical="center" textRotation="90"/>
    </xf>
    <xf numFmtId="0" fontId="12" fillId="2" borderId="0" xfId="0" applyFont="1" applyFill="1" applyAlignment="1">
      <alignment horizontal="right" vertical="center" textRotation="180"/>
    </xf>
    <xf numFmtId="164" fontId="7" fillId="2" borderId="0" xfId="0" applyNumberFormat="1" applyFont="1" applyFill="1"/>
    <xf numFmtId="0" fontId="7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vertical="top" wrapText="1"/>
    </xf>
    <xf numFmtId="164" fontId="7" fillId="2" borderId="0" xfId="0" applyNumberFormat="1" applyFont="1" applyFill="1" applyAlignment="1">
      <alignment vertical="top"/>
    </xf>
  </cellXfs>
  <cellStyles count="4">
    <cellStyle name="Normal" xfId="0" builtinId="0"/>
    <cellStyle name="Overskrift 1" xfId="1" builtinId="16"/>
    <cellStyle name="Overskrift 2" xfId="2" builtinId="17"/>
    <cellStyle name="Overskrift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14</xdr:row>
      <xdr:rowOff>152400</xdr:rowOff>
    </xdr:from>
    <xdr:to>
      <xdr:col>1</xdr:col>
      <xdr:colOff>523875</xdr:colOff>
      <xdr:row>25</xdr:row>
      <xdr:rowOff>161925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33475" y="3248025"/>
          <a:ext cx="0" cy="2524125"/>
        </a:xfrm>
        <a:prstGeom prst="line">
          <a:avLst/>
        </a:prstGeom>
        <a:ln w="28575">
          <a:headEnd type="oval" w="lg" len="lg"/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171039</xdr:colOff>
      <xdr:row>14</xdr:row>
      <xdr:rowOff>95250</xdr:rowOff>
    </xdr:from>
    <xdr:to>
      <xdr:col>5</xdr:col>
      <xdr:colOff>171039</xdr:colOff>
      <xdr:row>29</xdr:row>
      <xdr:rowOff>123825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184213" y="3342033"/>
          <a:ext cx="0" cy="3507270"/>
        </a:xfrm>
        <a:prstGeom prst="line">
          <a:avLst/>
        </a:prstGeom>
        <a:ln w="28575">
          <a:solidFill>
            <a:schemeClr val="accent1">
              <a:lumMod val="60000"/>
              <a:lumOff val="40000"/>
            </a:schemeClr>
          </a:solidFill>
          <a:headEnd type="oval" w="lg" len="lg"/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A2" zoomScale="115" zoomScaleNormal="115" workbookViewId="0">
      <selection activeCell="H2" sqref="H2"/>
    </sheetView>
  </sheetViews>
  <sheetFormatPr defaultColWidth="0" defaultRowHeight="12.75" zeroHeight="1" x14ac:dyDescent="0.2"/>
  <cols>
    <col min="1" max="1" width="3.42578125" customWidth="1"/>
    <col min="2" max="2" width="6.85546875" customWidth="1"/>
    <col min="3" max="3" width="9.140625" customWidth="1"/>
    <col min="4" max="4" width="48.42578125" customWidth="1"/>
    <col min="5" max="5" width="10.140625" customWidth="1"/>
    <col min="6" max="7" width="9.140625" customWidth="1"/>
    <col min="8" max="8" width="9.5703125" customWidth="1"/>
    <col min="9" max="9" width="3.42578125" customWidth="1"/>
    <col min="10" max="16" width="9.140625" hidden="1" customWidth="1"/>
    <col min="17" max="17" width="3.42578125" customWidth="1"/>
    <col min="18" max="18" width="6.85546875" customWidth="1"/>
    <col min="19" max="19" width="9.140625" customWidth="1"/>
    <col min="20" max="20" width="48.42578125" customWidth="1"/>
    <col min="21" max="21" width="10.140625" customWidth="1"/>
    <col min="22" max="22" width="5.42578125" customWidth="1"/>
    <col min="23" max="23" width="9.140625" customWidth="1"/>
    <col min="24" max="24" width="6.85546875" customWidth="1"/>
    <col min="25" max="26" width="9.140625" customWidth="1"/>
    <col min="27" max="27" width="9.140625" hidden="1" customWidth="1"/>
    <col min="28" max="28" width="6" hidden="1" customWidth="1"/>
    <col min="29" max="16384" width="9.140625" hidden="1"/>
  </cols>
  <sheetData>
    <row r="1" spans="1:32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customHeight="1" x14ac:dyDescent="0.3">
      <c r="A2" s="1"/>
      <c r="B2" s="1"/>
      <c r="C2" s="1"/>
      <c r="D2" s="2" t="s">
        <v>20</v>
      </c>
      <c r="E2" s="3">
        <v>44016</v>
      </c>
      <c r="F2" s="1"/>
      <c r="G2" s="2" t="s">
        <v>21</v>
      </c>
      <c r="H2" s="3">
        <v>51272</v>
      </c>
      <c r="I2" s="1"/>
      <c r="J2" s="1"/>
      <c r="K2" s="1"/>
      <c r="L2" s="1"/>
      <c r="M2" s="1"/>
      <c r="N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 thickBot="1" x14ac:dyDescent="0.25">
      <c r="A3" s="1"/>
      <c r="B3" s="1"/>
      <c r="C3" s="1"/>
      <c r="D3" s="1"/>
      <c r="E3" s="4">
        <f>++E2-DAY(E2)</f>
        <v>44012</v>
      </c>
      <c r="F3" s="1"/>
      <c r="G3" s="1"/>
      <c r="H3" s="4">
        <f>+DATE(YEAR(H2),MONTH(H2),DAY(EOMONTH($H$2,0)))</f>
        <v>51287</v>
      </c>
      <c r="I3" s="4"/>
      <c r="J3" s="1"/>
      <c r="K3" s="1"/>
      <c r="L3" s="1"/>
      <c r="M3" s="1"/>
      <c r="N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" customHeight="1" x14ac:dyDescent="0.2">
      <c r="A4" s="1"/>
      <c r="B4" s="1"/>
      <c r="C4" s="1"/>
      <c r="D4" s="1"/>
      <c r="E4" s="1"/>
      <c r="F4" s="1"/>
      <c r="G4" s="1"/>
      <c r="H4" s="1"/>
      <c r="I4" s="1"/>
      <c r="J4" s="5" t="s">
        <v>22</v>
      </c>
      <c r="K4" s="6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" customHeight="1" x14ac:dyDescent="0.3">
      <c r="A5" s="1"/>
      <c r="B5" s="1"/>
      <c r="C5" s="1"/>
      <c r="D5" s="8" t="s">
        <v>23</v>
      </c>
      <c r="E5" s="9" t="s">
        <v>4</v>
      </c>
      <c r="F5" s="1"/>
      <c r="G5" s="1"/>
      <c r="H5" s="1"/>
      <c r="I5" s="1"/>
      <c r="J5" s="10">
        <f>+$C$15</f>
        <v>45536</v>
      </c>
      <c r="K5" s="11">
        <f>DATE(YEAR(J5) + 1, MONTH(J5), DAY(J5))</f>
        <v>45901</v>
      </c>
      <c r="L5" s="1"/>
      <c r="M5" s="1"/>
      <c r="N5" s="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" customHeight="1" thickBot="1" x14ac:dyDescent="0.25">
      <c r="A6" s="1"/>
      <c r="B6" s="1"/>
      <c r="C6" s="1"/>
      <c r="D6" s="1"/>
      <c r="E6" s="4">
        <f>+DATE(LEFT(E5,4),MONTH(1),DAY(1))</f>
        <v>45292</v>
      </c>
      <c r="F6" s="1"/>
      <c r="G6" s="1"/>
      <c r="H6" s="1"/>
      <c r="I6" s="1"/>
      <c r="J6" s="13">
        <f>+C26</f>
        <v>45870</v>
      </c>
      <c r="K6" s="11">
        <f>DATE(YEAR(J6) + 1, MONTH(J6), DAY(J6))</f>
        <v>46235</v>
      </c>
      <c r="L6" s="1"/>
      <c r="M6" s="1"/>
      <c r="N6" s="12"/>
      <c r="O6" s="1"/>
      <c r="P6" s="1"/>
      <c r="Q6" s="1"/>
      <c r="R6" s="1"/>
      <c r="S6" s="1"/>
      <c r="T6" s="1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8" customHeight="1" thickTop="1" x14ac:dyDescent="0.2">
      <c r="A7" s="1"/>
      <c r="B7" s="14"/>
      <c r="C7" s="15"/>
      <c r="D7" s="15"/>
      <c r="E7" s="15"/>
      <c r="F7" s="15"/>
      <c r="G7" s="15"/>
      <c r="H7" s="16"/>
      <c r="I7" s="1"/>
      <c r="J7" s="17">
        <v>0</v>
      </c>
      <c r="K7" s="1">
        <v>0</v>
      </c>
      <c r="L7" s="18">
        <f>+SUM($E$10,$E$12)</f>
        <v>0</v>
      </c>
      <c r="M7" s="1"/>
      <c r="N7" s="19">
        <f t="shared" ref="N7:N22" si="0">+SUM(J7:L7)</f>
        <v>0</v>
      </c>
      <c r="O7" s="1"/>
      <c r="P7" s="1"/>
      <c r="Q7" s="1"/>
      <c r="R7" s="20"/>
      <c r="S7" s="21"/>
      <c r="T7" s="21"/>
      <c r="U7" s="21"/>
      <c r="V7" s="21"/>
      <c r="W7" s="21"/>
      <c r="X7" s="22"/>
      <c r="Y7" s="1"/>
      <c r="Z7" s="1"/>
      <c r="AA7" s="1"/>
      <c r="AB7" s="1"/>
      <c r="AC7" s="1"/>
      <c r="AD7" s="1"/>
      <c r="AE7" s="1"/>
      <c r="AF7" s="1"/>
    </row>
    <row r="8" spans="1:32" ht="18" customHeight="1" x14ac:dyDescent="0.35">
      <c r="A8" s="1"/>
      <c r="B8" s="23"/>
      <c r="C8" s="1"/>
      <c r="D8" s="24" t="s">
        <v>44</v>
      </c>
      <c r="E8">
        <v>2.08</v>
      </c>
      <c r="F8" s="1" t="s">
        <v>24</v>
      </c>
      <c r="G8" s="1"/>
      <c r="H8" s="25"/>
      <c r="I8" s="1"/>
      <c r="J8" s="26">
        <f>IF(OR($C15&gt;$H$3,$C15&lt;$E$3),J7,IF(AND($C15&gt;=$J5,$C15&lt;=$J6),IF(OR(AND(YEAR($C15)=YEAR($E$2),MONTH($E$2)=MONTH($C15)),AND(YEAR($C15)=YEAR($H$2),MONTH($H$2)=MONTH($C15))),IF(AND(YEAR($C15)=YEAR($E$2),MONTH($E$2)=MONTH($C15)),($E$8*(DAY(EOMONTH($E$2,0))-DAY($E$2)+1)/DAY(EOMONTH($E$2,0))),($E$8*(DAY($H$2)/DAY(EOMONTH($H$2,0))))+J7),IF($C15&lt;$E$2,0,$E$8+J7)),IF(YEAR($J6)=YEAR($C15),J7,0)))</f>
        <v>2.08</v>
      </c>
      <c r="K8" s="27">
        <f>IF(OR($C15&gt;$H$3,$C15&lt;$E$3),K7,IF(AND($C15&gt;=$K5,$C15&lt;=$K6),IF(OR(AND(YEAR($C15)=YEAR($E$2),MONTH($E$2)=MONTH($C15)),AND(YEAR($C15)=YEAR($H$2),MONTH($H$2)=MONTH($C15))),IF(AND(YEAR($C15)=YEAR($E$2),MONTH($E$2)=MONTH($C15)),($E$8*(DAY(EOMONTH($E$2,0))-DAY($E$2)+1)/DAY(EOMONTH($E$2,0))),($E$8*(DAY($H$2)/DAY(EOMONTH($H$2,0))))+K7),IF($C15&lt;$E$2,0,$E$8+K7)),IF(YEAR($K6)=YEAR($C15),K7,0)))</f>
        <v>0</v>
      </c>
      <c r="L8" s="28">
        <f>+L7</f>
        <v>0</v>
      </c>
      <c r="M8" s="1"/>
      <c r="N8" s="19">
        <f t="shared" si="0"/>
        <v>2.08</v>
      </c>
      <c r="O8" s="1"/>
      <c r="P8" s="1"/>
      <c r="Q8" s="29"/>
      <c r="R8" s="30"/>
      <c r="S8" s="1"/>
      <c r="T8" s="24" t="s">
        <v>25</v>
      </c>
      <c r="U8" s="1">
        <v>0.42</v>
      </c>
      <c r="V8" s="1" t="s">
        <v>24</v>
      </c>
      <c r="W8" s="1"/>
      <c r="X8" s="31"/>
      <c r="Y8" s="1"/>
      <c r="Z8" s="1"/>
      <c r="AA8" s="1"/>
      <c r="AB8" s="1"/>
      <c r="AC8" s="1"/>
      <c r="AD8" s="1"/>
      <c r="AE8" s="1"/>
      <c r="AF8" s="1"/>
    </row>
    <row r="9" spans="1:32" ht="18" customHeight="1" x14ac:dyDescent="0.2">
      <c r="A9" s="1"/>
      <c r="B9" s="23"/>
      <c r="C9" s="1"/>
      <c r="D9" s="1"/>
      <c r="E9" s="1"/>
      <c r="F9" s="1"/>
      <c r="G9" s="1"/>
      <c r="H9" s="25"/>
      <c r="I9" s="1"/>
      <c r="J9" s="26">
        <f>IF(OR($C16&gt;$H$3,$C16&lt;$E$3),J8,IF(AND($C16&gt;=$J5,$C16&lt;=$J6),IF(OR(AND(YEAR($C16)=YEAR($E$2),MONTH($E$2)=MONTH($C16)),AND(YEAR($C16)=YEAR($H$2),MONTH($H$2)=MONTH($C16))),IF(AND(YEAR($C16)=YEAR($E$2),MONTH($E$2)=MONTH($C16)),($E$8*(DAY(EOMONTH($E$2,0))-DAY($E$2)+1)/DAY(EOMONTH($E$2,0))),($E$8*(DAY($H$2)/DAY(EOMONTH($H$2,0))))+J8),IF($C16&lt;$E$2,0,$E$8+J8)),IF(YEAR($J6)=YEAR($C16),J8,0)))</f>
        <v>4.16</v>
      </c>
      <c r="K9" s="27">
        <f>IF(OR($C16&gt;$H$3,$C16&lt;$E$3),K8,IF(AND($C16&gt;=$K5,$C16&lt;=$K6),IF(OR(AND(YEAR($C16)=YEAR($E$2),MONTH($E$2)=MONTH($C16)),AND(YEAR($C16)=YEAR($H$2),MONTH($H$2)=MONTH($C16))),IF(AND(YEAR($C16)=YEAR($E$2),MONTH($E$2)=MONTH($C16)),($E$8*(DAY(EOMONTH($E$2,0))-DAY($E$2)+1)/DAY(EOMONTH($E$2,0))),($E$8*(DAY($H$2)/DAY(EOMONTH($H$2,0))))+K8),IF($C16&lt;$E$2,0,$E$8+K8)),IF(YEAR($K6)=YEAR($C16),K8,0)))</f>
        <v>0</v>
      </c>
      <c r="L9" s="27">
        <f>+L7</f>
        <v>0</v>
      </c>
      <c r="M9" s="1"/>
      <c r="N9" s="19">
        <f t="shared" si="0"/>
        <v>4.16</v>
      </c>
      <c r="O9" s="1"/>
      <c r="P9" s="1"/>
      <c r="Q9" s="1"/>
      <c r="R9" s="30"/>
      <c r="S9" s="1"/>
      <c r="T9" s="1"/>
      <c r="U9" s="1"/>
      <c r="V9" s="1"/>
      <c r="W9" s="1"/>
      <c r="X9" s="31"/>
      <c r="Y9" s="1"/>
      <c r="Z9" s="1"/>
      <c r="AA9" s="1"/>
      <c r="AB9" s="1"/>
      <c r="AC9" s="1"/>
      <c r="AD9" s="1"/>
      <c r="AE9" s="1"/>
      <c r="AF9" s="1"/>
    </row>
    <row r="10" spans="1:32" ht="18" customHeight="1" x14ac:dyDescent="0.25">
      <c r="A10" s="1"/>
      <c r="B10" s="23"/>
      <c r="C10" s="1"/>
      <c r="D10" s="32" t="s">
        <v>45</v>
      </c>
      <c r="E10" s="33">
        <v>0</v>
      </c>
      <c r="F10" s="1" t="s">
        <v>43</v>
      </c>
      <c r="G10" s="1"/>
      <c r="H10" s="25"/>
      <c r="I10" s="1"/>
      <c r="J10" s="26">
        <f>IF(OR($C17&gt;$H$3,$C17&lt;$E$3),J9,IF(AND($C17&gt;=$J5,$C17&lt;=$J6),IF(OR(AND(YEAR($C17)=YEAR($E$2),MONTH($E$2)=MONTH($C17)),AND(YEAR($C17)=YEAR($H$2),MONTH($H$2)=MONTH($C17))),IF(AND(YEAR($C17)=YEAR($E$2),MONTH($E$2)=MONTH($C17)),($E$8*(DAY(EOMONTH($E$2,0))-DAY($E$2)+1)/DAY(EOMONTH($E$2,0))),($E$8*(DAY($H$2)/DAY(EOMONTH($H$2,0))))+J9),IF($C17&lt;$E$2,0,$E$8+J9)),IF(YEAR($J6)=YEAR($C17),J9,0)))</f>
        <v>6.24</v>
      </c>
      <c r="K10" s="27">
        <f>IF(OR($C17&gt;$H$3,$C17&lt;$E$3),K9,IF(AND($C17&gt;=$K5,$C17&lt;=$K6),IF(OR(AND(YEAR($C17)=YEAR($E$2),MONTH($E$2)=MONTH($C17)),AND(YEAR($C17)=YEAR($H$2),MONTH($H$2)=MONTH($C17))),IF(AND(YEAR($C17)=YEAR($E$2),MONTH($E$2)=MONTH($C17)),($E$8*(DAY(EOMONTH($E$2,0))-DAY($E$2)+1)/DAY(EOMONTH($E$2,0))),($E$8*(DAY($H$2)/DAY(EOMONTH($H$2,0))))+K9),IF($C17&lt;$E$2,0,$E$8+K9)),IF(YEAR($K6)=YEAR($C17),K9,0)))</f>
        <v>0</v>
      </c>
      <c r="L10" s="27">
        <f t="shared" ref="L10:L22" si="1">+L9</f>
        <v>0</v>
      </c>
      <c r="M10" s="1"/>
      <c r="N10" s="19">
        <f t="shared" si="0"/>
        <v>6.24</v>
      </c>
      <c r="O10" s="1"/>
      <c r="P10" s="1"/>
      <c r="Q10" s="1"/>
      <c r="R10" s="30"/>
      <c r="S10" s="1"/>
      <c r="T10" s="32" t="s">
        <v>27</v>
      </c>
      <c r="U10" s="68">
        <f>+K40</f>
        <v>5.04</v>
      </c>
      <c r="V10" s="1" t="s">
        <v>43</v>
      </c>
      <c r="W10" s="1"/>
      <c r="X10" s="31"/>
      <c r="Y10" s="1"/>
      <c r="Z10" s="1"/>
      <c r="AA10" s="1"/>
      <c r="AB10" s="1"/>
      <c r="AC10" s="1"/>
      <c r="AD10" s="1"/>
      <c r="AE10" s="1"/>
      <c r="AF10" s="1"/>
    </row>
    <row r="11" spans="1:32" ht="18" customHeight="1" x14ac:dyDescent="0.2">
      <c r="A11" s="1"/>
      <c r="B11" s="23"/>
      <c r="C11" s="1"/>
      <c r="D11" s="1"/>
      <c r="E11" s="1"/>
      <c r="F11" s="1"/>
      <c r="G11" s="1"/>
      <c r="H11" s="25"/>
      <c r="I11" s="1"/>
      <c r="J11" s="26">
        <f>IF(OR($C18&gt;$H$3,$C18&lt;$E$3),J10,IF(AND($C18&gt;=$J5,$C18&lt;=$J6),IF(OR(AND(YEAR($C18)=YEAR($E$2),MONTH($E$2)=MONTH($C18)),AND(YEAR($C18)=YEAR($H$2),MONTH($H$2)=MONTH($C18))),IF(AND(YEAR($C18)=YEAR($E$2),MONTH($E$2)=MONTH($C18)),($E$8*(DAY(EOMONTH($E$2,0))-DAY($E$2)+1)/DAY(EOMONTH($E$2,0))),($E$8*(DAY($H$2)/DAY(EOMONTH($H$2,0))))+J10),IF($C18&lt;$E$2,0,$E$8+J10)),IF(YEAR($J6)=YEAR($C18),J10,0)))</f>
        <v>8.32</v>
      </c>
      <c r="K11" s="27">
        <f>IF(OR($C18&gt;$H$3,$C18&lt;$E$3),K10,IF(AND($C18&gt;=$K5,$C18&lt;=$K6),IF(OR(AND(YEAR($C18)=YEAR($E$2),MONTH($E$2)=MONTH($C18)),AND(YEAR($C18)=YEAR($H$2),MONTH($H$2)=MONTH($C18))),IF(AND(YEAR($C18)=YEAR($E$2),MONTH($E$2)=MONTH($C18)),($E$8*(DAY(EOMONTH($E$2,0))-DAY($E$2)+1)/DAY(EOMONTH($E$2,0))),($E$8*(DAY($H$2)/DAY(EOMONTH($H$2,0))))+K10),IF($C18&lt;$E$2,0,$E$8+K10)),IF(YEAR($K6)=YEAR($C18),K10,0)))</f>
        <v>0</v>
      </c>
      <c r="L11" s="27">
        <f t="shared" si="1"/>
        <v>0</v>
      </c>
      <c r="M11" s="1"/>
      <c r="N11" s="19">
        <f t="shared" si="0"/>
        <v>8.32</v>
      </c>
      <c r="O11" s="1"/>
      <c r="P11" s="1"/>
      <c r="Q11" s="1"/>
      <c r="R11" s="30"/>
      <c r="S11" s="1"/>
      <c r="T11" s="1"/>
      <c r="U11" s="1"/>
      <c r="V11" s="1"/>
      <c r="W11" s="1"/>
      <c r="X11" s="31"/>
      <c r="Y11" s="1"/>
      <c r="Z11" s="1"/>
      <c r="AA11" s="1"/>
      <c r="AB11" s="1"/>
      <c r="AC11" s="1"/>
      <c r="AD11" s="1"/>
      <c r="AE11" s="1"/>
      <c r="AF11" s="1"/>
    </row>
    <row r="12" spans="1:32" ht="18" customHeight="1" x14ac:dyDescent="0.25">
      <c r="A12" s="1"/>
      <c r="B12" s="23"/>
      <c r="C12" s="1"/>
      <c r="D12" s="32" t="s">
        <v>46</v>
      </c>
      <c r="E12" s="33">
        <v>0</v>
      </c>
      <c r="F12" s="1" t="s">
        <v>43</v>
      </c>
      <c r="G12" s="1"/>
      <c r="H12" s="25"/>
      <c r="I12" s="1"/>
      <c r="J12" s="26">
        <f>IF(OR($C19&gt;$H$3,$C19&lt;$E$3),J11,IF(AND($C19&gt;=$J5,$C19&lt;=$J6),IF(OR(AND(YEAR($C19)=YEAR($E$2),MONTH($E$2)=MONTH($C19)),AND(YEAR($C19)=YEAR($H$2),MONTH($H$2)=MONTH($C19))),IF(AND(YEAR($C19)=YEAR($E$2),MONTH($E$2)=MONTH($C19)),($E$8*(DAY(EOMONTH($E$2,0))-DAY($E$2)+1)/DAY(EOMONTH($E$2,0))),($E$8*(DAY($H$2)/DAY(EOMONTH($H$2,0))))+J11),IF($C19&lt;$E$2,0,$E$8+J11)),IF(YEAR($J6)=YEAR($C19),J11,0)))</f>
        <v>10.4</v>
      </c>
      <c r="K12" s="27">
        <f>IF(OR($C19&gt;$H$3,$C19&lt;$E$3),K11,IF(AND($C19&gt;=$K5,$C19&lt;=$K6),IF(OR(AND(YEAR($C19)=YEAR($E$2),MONTH($E$2)=MONTH($C19)),AND(YEAR($C19)=YEAR($H$2),MONTH($H$2)=MONTH($C19))),IF(AND(YEAR($C19)=YEAR($E$2),MONTH($E$2)=MONTH($C19)),($E$8*(DAY(EOMONTH($E$2,0))-DAY($E$2)+1)/DAY(EOMONTH($E$2,0))),($E$8*(DAY($H$2)/DAY(EOMONTH($H$2,0))))+K11),IF($C19&lt;$E$2,0,$E$8+K11)),IF(YEAR($K6)=YEAR($C19),K11,0)))</f>
        <v>0</v>
      </c>
      <c r="L12" s="27">
        <f t="shared" si="1"/>
        <v>0</v>
      </c>
      <c r="M12" s="1"/>
      <c r="N12" s="19">
        <f t="shared" si="0"/>
        <v>10.4</v>
      </c>
      <c r="O12" s="1"/>
      <c r="P12" s="1"/>
      <c r="Q12" s="1"/>
      <c r="R12" s="30"/>
      <c r="S12" s="1"/>
      <c r="T12" s="32" t="s">
        <v>26</v>
      </c>
      <c r="U12" s="33">
        <v>0</v>
      </c>
      <c r="V12" s="1" t="s">
        <v>43</v>
      </c>
      <c r="W12" s="1"/>
      <c r="X12" s="31"/>
      <c r="Y12" s="1"/>
      <c r="Z12" s="1"/>
      <c r="AA12" s="1"/>
      <c r="AB12" s="1"/>
      <c r="AC12" s="1"/>
      <c r="AD12" s="1"/>
      <c r="AE12" s="1"/>
      <c r="AF12" s="1"/>
    </row>
    <row r="13" spans="1:32" ht="18" customHeight="1" x14ac:dyDescent="0.25">
      <c r="A13" s="1"/>
      <c r="B13" s="23"/>
      <c r="C13" s="1"/>
      <c r="D13" s="1"/>
      <c r="E13" s="1"/>
      <c r="F13" s="1"/>
      <c r="G13" s="1"/>
      <c r="H13" s="25"/>
      <c r="I13" s="1"/>
      <c r="J13" s="26">
        <f>IF(OR($C20&gt;$H$3,$C20&lt;$E$3),J12,IF(AND($C20&gt;=$J5,$C20&lt;=$J6),IF(OR(AND(YEAR($C20)=YEAR($E$2),MONTH($E$2)=MONTH($C20)),AND(YEAR($C20)=YEAR($H$2),MONTH($H$2)=MONTH($C20))),IF(AND(YEAR($C20)=YEAR($E$2),MONTH($E$2)=MONTH($C20)),($E$8*(DAY(EOMONTH($E$2,0))-DAY($E$2)+1)/DAY(EOMONTH($E$2,0))),($E$8*(DAY($H$2)/DAY(EOMONTH($H$2,0))))+J12),IF($C20&lt;$E$2,0,$E$8+J12)),IF(YEAR($J6)=YEAR($C20),J12,0)))</f>
        <v>12.48</v>
      </c>
      <c r="K13" s="27">
        <f>IF(OR($C20&gt;$H$3,$C20&lt;$E$3),K12,IF(AND($C20&gt;=$K5,$C20&lt;=$K6),IF(OR(AND(YEAR($C20)=YEAR($E$2),MONTH($E$2)=MONTH($C20)),AND(YEAR($C20)=YEAR($H$2),MONTH($H$2)=MONTH($C20))),IF(AND(YEAR($C20)=YEAR($E$2),MONTH($E$2)=MONTH($C20)),($E$8*(DAY(EOMONTH($E$2,0))-DAY($E$2)+1)/DAY(EOMONTH($E$2,0))),($E$8*(DAY($H$2)/DAY(EOMONTH($H$2,0))))+K12),IF($C20&lt;$E$2,0,$E$8+K12)),IF(YEAR($K6)=YEAR($C20),K12,0)))</f>
        <v>0</v>
      </c>
      <c r="L13" s="27">
        <f t="shared" si="1"/>
        <v>0</v>
      </c>
      <c r="M13" s="1"/>
      <c r="N13" s="19">
        <f t="shared" si="0"/>
        <v>12.48</v>
      </c>
      <c r="O13" s="1"/>
      <c r="P13" s="1"/>
      <c r="Q13" s="1"/>
      <c r="R13" s="30"/>
      <c r="S13" s="34"/>
      <c r="T13" s="34"/>
      <c r="U13" s="34"/>
      <c r="V13" s="1"/>
      <c r="W13" s="34"/>
      <c r="X13" s="31"/>
      <c r="Y13" s="1"/>
      <c r="Z13" s="1"/>
      <c r="AA13" s="1"/>
      <c r="AB13" s="1"/>
      <c r="AC13" s="1"/>
      <c r="AD13" s="1"/>
      <c r="AE13" s="1"/>
      <c r="AF13" s="1"/>
    </row>
    <row r="14" spans="1:32" ht="18" customHeight="1" x14ac:dyDescent="0.25">
      <c r="A14" s="1"/>
      <c r="B14" s="23"/>
      <c r="C14" s="34" t="s">
        <v>28</v>
      </c>
      <c r="D14" s="34" t="s">
        <v>47</v>
      </c>
      <c r="E14" s="34" t="s">
        <v>30</v>
      </c>
      <c r="F14" s="1"/>
      <c r="G14" s="34" t="s">
        <v>31</v>
      </c>
      <c r="H14" s="25"/>
      <c r="I14" s="1"/>
      <c r="J14" s="26">
        <f>IF(OR($C21&gt;$H$3,$C21&lt;$E$3),J13,IF(AND($C21&gt;=$J5,$C21&lt;=$J6),IF(OR(AND(YEAR($C21)=YEAR($E$2),MONTH($E$2)=MONTH($C21)),AND(YEAR($C21)=YEAR($H$2),MONTH($H$2)=MONTH($C21))),IF(AND(YEAR($C21)=YEAR($E$2),MONTH($E$2)=MONTH($C21)),($E$8*(DAY(EOMONTH($E$2,0))-DAY($E$2)+1)/DAY(EOMONTH($E$2,0))),($E$8*(DAY($H$2)/DAY(EOMONTH($H$2,0))))+J13),IF($C21&lt;$E$2,0,$E$8+J13)),IF(YEAR($J6)=YEAR($C21),J13,0)))</f>
        <v>14.56</v>
      </c>
      <c r="K14" s="27">
        <f>IF(OR($C21&gt;$H$3,$C21&lt;$E$3),K13,IF(AND($C21&gt;=$K5,$C21&lt;=$K6),IF(OR(AND(YEAR($C21)=YEAR($E$2),MONTH($E$2)=MONTH($C21)),AND(YEAR($C21)=YEAR($H$2),MONTH($H$2)=MONTH($C21))),IF(AND(YEAR($C21)=YEAR($E$2),MONTH($E$2)=MONTH($C21)),($E$8*(DAY(EOMONTH($E$2,0))-DAY($E$2)+1)/DAY(EOMONTH($E$2,0))),($E$8*(DAY($H$2)/DAY(EOMONTH($H$2,0))))+K13),IF($C21&lt;$E$2,0,$E$8+K13)),IF(YEAR($K6)=YEAR($C21),K13,0)))</f>
        <v>0</v>
      </c>
      <c r="L14" s="27">
        <f t="shared" si="1"/>
        <v>0</v>
      </c>
      <c r="M14" s="1"/>
      <c r="N14" s="19">
        <f t="shared" si="0"/>
        <v>14.56</v>
      </c>
      <c r="O14" s="1"/>
      <c r="P14" s="1"/>
      <c r="Q14" s="1"/>
      <c r="R14" s="30"/>
      <c r="S14" s="34" t="s">
        <v>28</v>
      </c>
      <c r="T14" s="34" t="s">
        <v>29</v>
      </c>
      <c r="U14" s="34" t="s">
        <v>30</v>
      </c>
      <c r="V14" s="1"/>
      <c r="W14" s="34" t="s">
        <v>31</v>
      </c>
      <c r="X14" s="31"/>
      <c r="Y14" s="1"/>
      <c r="Z14" s="1"/>
      <c r="AA14" s="1"/>
      <c r="AB14" s="1"/>
      <c r="AC14" s="1"/>
      <c r="AD14" s="1"/>
      <c r="AE14" s="1"/>
      <c r="AF14" s="1"/>
    </row>
    <row r="15" spans="1:32" ht="18" customHeight="1" x14ac:dyDescent="0.2">
      <c r="A15" s="1"/>
      <c r="B15" s="23"/>
      <c r="C15" s="35">
        <f>DATE(YEAR($E$6), 9, 1)</f>
        <v>45536</v>
      </c>
      <c r="D15" s="67"/>
      <c r="E15" s="74">
        <v>0</v>
      </c>
      <c r="F15" s="1"/>
      <c r="G15" s="37">
        <f>+SUM(N7)-E15</f>
        <v>0</v>
      </c>
      <c r="H15" s="25"/>
      <c r="I15" s="1"/>
      <c r="J15" s="26">
        <f>IF(OR($C22&gt;$H$3,$C22&lt;$E$3),J14,IF(AND($C22&gt;=$J5,$C22&lt;=$J6),IF(OR(AND(YEAR($C22)=YEAR($E$2),MONTH($E$2)=MONTH($C22)),AND(YEAR($C22)=YEAR($H$2),MONTH($H$2)=MONTH($C22))),IF(AND(YEAR($C22)=YEAR($E$2),MONTH($E$2)=MONTH($C22)),($E$8*(DAY(EOMONTH($E$2,0))-DAY($E$2)+1)/DAY(EOMONTH($E$2,0))),($E$8*(DAY($H$2)/DAY(EOMONTH($H$2,0))))+J14),IF($C22&lt;$E$2,0,$E$8+J14)),IF(YEAR($J6)=YEAR($C22),J14,0)))</f>
        <v>16.64</v>
      </c>
      <c r="K15" s="27">
        <f>IF(OR($C22&gt;$H$3,$C22&lt;$E$3),K14,IF(AND($C22&gt;=$K5,$C22&lt;=$K6),IF(OR(AND(YEAR($C22)=YEAR($E$2),MONTH($E$2)=MONTH($C22)),AND(YEAR($C22)=YEAR($H$2),MONTH($H$2)=MONTH($C22))),IF(AND(YEAR($C22)=YEAR($E$2),MONTH($E$2)=MONTH($C22)),($E$8*(DAY(EOMONTH($E$2,0))-DAY($E$2)+1)/DAY(EOMONTH($E$2,0))),($E$8*(DAY($H$2)/DAY(EOMONTH($H$2,0))))+K14),IF($C22&lt;$E$2,0,$E$8+K14)),IF(YEAR($K6)=YEAR($C22),K14,0)))</f>
        <v>0</v>
      </c>
      <c r="L15" s="27">
        <f t="shared" si="1"/>
        <v>0</v>
      </c>
      <c r="M15" s="1"/>
      <c r="N15" s="19">
        <f t="shared" si="0"/>
        <v>16.64</v>
      </c>
      <c r="O15" s="1"/>
      <c r="P15" s="1"/>
      <c r="Q15" s="1"/>
      <c r="R15" s="30"/>
      <c r="S15" s="35">
        <f>DATE(YEAR($J$29)+1, 5, 1)</f>
        <v>45413</v>
      </c>
      <c r="T15" s="67"/>
      <c r="U15" s="36">
        <v>0</v>
      </c>
      <c r="V15" s="1"/>
      <c r="W15" s="68">
        <f>+SUM(U10,U12)-U15</f>
        <v>5.04</v>
      </c>
      <c r="X15" s="31"/>
      <c r="Y15" s="1"/>
      <c r="Z15" s="1"/>
      <c r="AA15" s="1"/>
      <c r="AB15" s="1"/>
      <c r="AC15" s="1"/>
      <c r="AD15" s="1"/>
      <c r="AE15" s="1"/>
      <c r="AF15" s="1"/>
    </row>
    <row r="16" spans="1:32" ht="18" customHeight="1" x14ac:dyDescent="0.2">
      <c r="A16" s="1"/>
      <c r="B16" s="78" t="s">
        <v>32</v>
      </c>
      <c r="C16" s="11">
        <f t="shared" ref="C16:C30" si="2">+EDATE(C15,1)</f>
        <v>45566</v>
      </c>
      <c r="D16" s="67"/>
      <c r="E16" s="74">
        <v>0</v>
      </c>
      <c r="F16" s="79" t="s">
        <v>33</v>
      </c>
      <c r="G16" s="37">
        <f t="shared" ref="G16:G29" si="3">+SUM(J9-J8,K9-K8)+G15-E16</f>
        <v>2.08</v>
      </c>
      <c r="H16" s="25"/>
      <c r="I16" s="1"/>
      <c r="J16" s="26">
        <f>IF(OR($C23&gt;$H$3,$C23&lt;$E$3),J15,IF(AND($C23&gt;=$J5,$C23&lt;=$J6),IF(OR(AND(YEAR($C23)=YEAR($E$2),MONTH($E$2)=MONTH($C23)),AND(YEAR($C23)=YEAR($H$2),MONTH($H$2)=MONTH($C23))),IF(AND(YEAR($C23)=YEAR($E$2),MONTH($E$2)=MONTH($C23)),($E$8*(DAY(EOMONTH($E$2,0))-DAY($E$2)+1)/DAY(EOMONTH($E$2,0))),($E$8*(DAY($H$2)/DAY(EOMONTH($H$2,0))))+J15),IF($C23&lt;$E$2,0,$E$8+J15)),IF(YEAR($J6)=YEAR($C23),J15,0)))</f>
        <v>18.72</v>
      </c>
      <c r="K16" s="27">
        <f>IF(OR($C23&gt;$H$3,$C23&lt;$E$3),K15,IF(AND($C23&gt;=$K5,$C23&lt;=$K6),IF(OR(AND(YEAR($C23)=YEAR($E$2),MONTH($E$2)=MONTH($C23)),AND(YEAR($C23)=YEAR($H$2),MONTH($H$2)=MONTH($C23))),IF(AND(YEAR($C23)=YEAR($E$2),MONTH($E$2)=MONTH($C23)),($E$8*(DAY(EOMONTH($E$2,0))-DAY($E$2)+1)/DAY(EOMONTH($E$2,0))),($E$8*(DAY($H$2)/DAY(EOMONTH($H$2,0))))+K15),IF($C23&lt;$E$2,0,$E$8+K15)),IF(YEAR($K6)=YEAR($C23),K15,0)))</f>
        <v>0</v>
      </c>
      <c r="L16" s="27">
        <f t="shared" si="1"/>
        <v>0</v>
      </c>
      <c r="M16" s="1"/>
      <c r="N16" s="19">
        <f t="shared" si="0"/>
        <v>18.72</v>
      </c>
      <c r="O16" s="1"/>
      <c r="P16" s="1"/>
      <c r="Q16" s="1"/>
      <c r="R16" s="30"/>
      <c r="S16" s="11">
        <f t="shared" ref="S16:S26" si="4">+EDATE(S15,1)</f>
        <v>45444</v>
      </c>
      <c r="T16" s="67"/>
      <c r="U16" s="36">
        <v>0</v>
      </c>
      <c r="V16" s="1"/>
      <c r="W16" s="68">
        <f>+W15-U16</f>
        <v>5.04</v>
      </c>
      <c r="X16" s="31"/>
      <c r="Y16" s="1"/>
      <c r="Z16" s="1"/>
      <c r="AA16" s="1"/>
      <c r="AB16" s="1"/>
      <c r="AC16" s="1"/>
      <c r="AD16" s="1"/>
      <c r="AE16" s="1"/>
      <c r="AF16" s="1"/>
    </row>
    <row r="17" spans="1:32" ht="18" customHeight="1" x14ac:dyDescent="0.2">
      <c r="A17" s="1"/>
      <c r="B17" s="78"/>
      <c r="C17" s="11">
        <f t="shared" si="2"/>
        <v>45597</v>
      </c>
      <c r="D17" s="67"/>
      <c r="E17" s="74">
        <v>0</v>
      </c>
      <c r="F17" s="79"/>
      <c r="G17" s="37">
        <f t="shared" si="3"/>
        <v>4.16</v>
      </c>
      <c r="H17" s="25"/>
      <c r="I17" s="1"/>
      <c r="J17" s="26">
        <f>IF(OR($C24&gt;$H$3,$C24&lt;$E$3),J16,IF(AND($C24&gt;=$J5,$C24&lt;=$J6),IF(OR(AND(YEAR($C24)=YEAR($E$2),MONTH($E$2)=MONTH($C24)),AND(YEAR($C24)=YEAR($H$2),MONTH($H$2)=MONTH($C24))),IF(AND(YEAR($C24)=YEAR($E$2),MONTH($E$2)=MONTH($C24)),($E$8*(DAY(EOMONTH($E$2,0))-DAY($E$2)+1)/DAY(EOMONTH($E$2,0))),($E$8*(DAY($H$2)/DAY(EOMONTH($H$2,0))))+J16),IF($C24&lt;$E$2,0,$E$8+J16)),IF(YEAR($J6)=YEAR($C24),J16,0)))</f>
        <v>20.799999999999997</v>
      </c>
      <c r="K17" s="27">
        <f>IF(OR($C24&gt;$H$3,$C24&lt;$E$3),K16,IF(AND($C24&gt;=$K5,$C24&lt;=$K6),IF(OR(AND(YEAR($C24)=YEAR($E$2),MONTH($E$2)=MONTH($C24)),AND(YEAR($C24)=YEAR($H$2),MONTH($H$2)=MONTH($C24))),IF(AND(YEAR($C24)=YEAR($E$2),MONTH($E$2)=MONTH($C24)),($E$8*(DAY(EOMONTH($E$2,0))-DAY($E$2)+1)/DAY(EOMONTH($E$2,0))),($E$8*(DAY($H$2)/DAY(EOMONTH($H$2,0))))+K16),IF($C24&lt;$E$2,0,$E$8+K16)),IF(YEAR($K6)=YEAR($C24),K16,0)))</f>
        <v>0</v>
      </c>
      <c r="L17" s="27">
        <f t="shared" si="1"/>
        <v>0</v>
      </c>
      <c r="M17" s="1"/>
      <c r="N17" s="19">
        <f t="shared" si="0"/>
        <v>20.799999999999997</v>
      </c>
      <c r="O17" s="1"/>
      <c r="P17" s="1"/>
      <c r="Q17" s="1"/>
      <c r="R17" s="30"/>
      <c r="S17" s="11">
        <f t="shared" si="4"/>
        <v>45474</v>
      </c>
      <c r="T17" s="67"/>
      <c r="U17" s="36">
        <v>0</v>
      </c>
      <c r="V17" s="1"/>
      <c r="W17" s="68">
        <f t="shared" ref="W17:W26" si="5">+W16-U17</f>
        <v>5.04</v>
      </c>
      <c r="X17" s="31"/>
      <c r="Y17" s="1"/>
      <c r="Z17" s="1"/>
      <c r="AA17" s="1"/>
      <c r="AB17" s="1"/>
      <c r="AC17" s="1"/>
      <c r="AD17" s="1"/>
      <c r="AE17" s="1"/>
      <c r="AF17" s="1"/>
    </row>
    <row r="18" spans="1:32" ht="18" customHeight="1" x14ac:dyDescent="0.2">
      <c r="A18" s="1"/>
      <c r="B18" s="78"/>
      <c r="C18" s="11">
        <f t="shared" si="2"/>
        <v>45627</v>
      </c>
      <c r="D18" s="67"/>
      <c r="E18" s="74">
        <v>0</v>
      </c>
      <c r="F18" s="79"/>
      <c r="G18" s="37">
        <f t="shared" si="3"/>
        <v>6.24</v>
      </c>
      <c r="H18" s="25"/>
      <c r="I18" s="1"/>
      <c r="J18" s="26">
        <f>IF(OR($C25&gt;$H$3,$C25&lt;$E$3),J17,IF(AND($C25&gt;=$J5,$C25&lt;=$J6),IF(OR(AND(YEAR($C25)=YEAR($E$2),MONTH($E$2)=MONTH($C25)),AND(YEAR($C25)=YEAR($H$2),MONTH($H$2)=MONTH($C25))),IF(AND(YEAR($C25)=YEAR($E$2),MONTH($E$2)=MONTH($C25)),($E$8*(DAY(EOMONTH($E$2,0))-DAY($E$2)+1)/DAY(EOMONTH($E$2,0))),($E$8*(DAY($H$2)/DAY(EOMONTH($H$2,0))))+J17),IF($C25&lt;$E$2,0,$E$8+J17+0.04)),IF(YEAR($J6)=YEAR($C25),J17,0)))</f>
        <v>22.919999999999995</v>
      </c>
      <c r="K18" s="27">
        <f>IF(OR($C25&gt;$H$3,$C25&lt;$E$3),K17,IF(AND($C25&gt;=$K5,$C25&lt;=$K6),IF(OR(AND(YEAR($C25)=YEAR($E$2),MONTH($E$2)=MONTH($C25)),AND(YEAR($C25)=YEAR($H$2),MONTH($H$2)=MONTH($C25))),IF(AND(YEAR($C25)=YEAR($E$2),MONTH($E$2)=MONTH($C25)),($E$8*(DAY(EOMONTH($E$2,0))-DAY($E$2)+1)/DAY(EOMONTH($E$2,0))),($E$8*(DAY($H$2)/DAY(EOMONTH($H$2,0))))+K17),IF($C25&lt;$E$2,0,$E$8+K17+0.04)),IF(YEAR($K6)=YEAR($C25),K17,0)))</f>
        <v>0</v>
      </c>
      <c r="L18" s="27">
        <f t="shared" si="1"/>
        <v>0</v>
      </c>
      <c r="M18" s="1"/>
      <c r="N18" s="19">
        <f t="shared" si="0"/>
        <v>22.919999999999995</v>
      </c>
      <c r="O18" s="1"/>
      <c r="P18" s="1"/>
      <c r="Q18" s="1"/>
      <c r="R18" s="30"/>
      <c r="S18" s="11">
        <f t="shared" si="4"/>
        <v>45505</v>
      </c>
      <c r="T18" s="67"/>
      <c r="U18" s="36">
        <v>0</v>
      </c>
      <c r="V18" s="1"/>
      <c r="W18" s="68">
        <f t="shared" si="5"/>
        <v>5.04</v>
      </c>
      <c r="X18" s="31"/>
      <c r="Y18" s="1"/>
      <c r="Z18" s="1"/>
      <c r="AA18" s="1"/>
      <c r="AB18" s="1"/>
      <c r="AC18" s="1"/>
      <c r="AD18" s="1"/>
      <c r="AE18" s="1"/>
      <c r="AF18" s="1"/>
    </row>
    <row r="19" spans="1:32" ht="18" customHeight="1" x14ac:dyDescent="0.2">
      <c r="A19" s="1"/>
      <c r="B19" s="78"/>
      <c r="C19" s="11">
        <f t="shared" si="2"/>
        <v>45658</v>
      </c>
      <c r="D19" s="67"/>
      <c r="E19" s="74">
        <v>0</v>
      </c>
      <c r="F19" s="79"/>
      <c r="G19" s="37">
        <f t="shared" si="3"/>
        <v>8.32</v>
      </c>
      <c r="H19" s="25"/>
      <c r="I19" s="1"/>
      <c r="J19" s="26">
        <f>IF(OR($C26&gt;$H$3,$C26&lt;$E$3),J18,IF(AND($C26&gt;=$J5,$C26&lt;=$J6),IF(OR(AND(YEAR($C26)=YEAR($E$2),MONTH($E$2)=MONTH($C26)),AND(YEAR($C26)=YEAR($H$2),MONTH($H$2)=MONTH($C26))),IF(AND(YEAR($C26)=YEAR($E$2),MONTH($E$2)=MONTH($C26)),($E$8*(DAY(EOMONTH($E$2,0))-DAY($E$2)+1)/DAY(EOMONTH($E$2,0))),($E$8*(DAY($H$2)/DAY(EOMONTH($H$2,0))))+J18),IF($C26&lt;$E$2,0,$E$8+J18)),IF(YEAR($J6)=YEAR($C26),J18,0)))</f>
        <v>24.999999999999993</v>
      </c>
      <c r="K19" s="27">
        <f>IF(OR($C26&gt;$H$3,$C26&lt;$E$3),K18,IF(AND($C26&gt;=$K5,$C26&lt;=$K6),IF(OR(AND(YEAR($C26)=YEAR($E$2),MONTH($E$2)=MONTH($C26)),AND(YEAR($C26)=YEAR($H$2),MONTH($H$2)=MONTH($C26))),IF(AND(YEAR($C26)=YEAR($E$2),MONTH($E$2)=MONTH($C26)),($E$8*(DAY(EOMONTH($E$2,0))-DAY($E$2)+1)/DAY(EOMONTH($E$2,0))),($E$8*(DAY($H$2)/DAY(EOMONTH($H$2,0))))+K18),IF($C26&lt;$E$2,0,$E$8+K18)),IF(YEAR($K6)=YEAR($C26),K18,0)))</f>
        <v>0</v>
      </c>
      <c r="L19" s="27">
        <f t="shared" si="1"/>
        <v>0</v>
      </c>
      <c r="M19" s="1"/>
      <c r="N19" s="19">
        <f t="shared" si="0"/>
        <v>24.999999999999993</v>
      </c>
      <c r="O19" s="1"/>
      <c r="P19" s="1"/>
      <c r="Q19" s="1"/>
      <c r="R19" s="30"/>
      <c r="S19" s="11">
        <f t="shared" si="4"/>
        <v>45536</v>
      </c>
      <c r="T19" s="67"/>
      <c r="U19" s="36">
        <v>0</v>
      </c>
      <c r="V19" s="1"/>
      <c r="W19" s="68">
        <f t="shared" si="5"/>
        <v>5.04</v>
      </c>
      <c r="X19" s="31"/>
      <c r="Y19" s="1"/>
      <c r="Z19" s="1"/>
      <c r="AA19" s="1"/>
      <c r="AB19" s="1"/>
      <c r="AC19" s="1"/>
      <c r="AD19" s="1"/>
      <c r="AE19" s="1"/>
      <c r="AF19" s="1"/>
    </row>
    <row r="20" spans="1:32" ht="18" customHeight="1" x14ac:dyDescent="0.2">
      <c r="A20" s="1"/>
      <c r="B20" s="78"/>
      <c r="C20" s="11">
        <f t="shared" si="2"/>
        <v>45689</v>
      </c>
      <c r="D20" s="67"/>
      <c r="E20" s="74">
        <v>0</v>
      </c>
      <c r="F20" s="79"/>
      <c r="G20" s="37">
        <f t="shared" si="3"/>
        <v>10.4</v>
      </c>
      <c r="H20" s="25"/>
      <c r="I20" s="1"/>
      <c r="J20" s="26">
        <f>IF(OR($C27&gt;$H$3,$C27&lt;$E$3),J19,IF(AND($C27&gt;=$J5,$C27&lt;=$J6),IF(OR(AND(YEAR($C27)=YEAR($E$2),MONTH($E$2)=MONTH($C27)),AND(YEAR($C27)=YEAR($H$2),MONTH($H$2)=MONTH($C27))),IF(AND(YEAR($C27)=YEAR($E$2),MONTH($E$2)=MONTH($C27)),($E$8*(DAY(EOMONTH($E$2,0))-DAY($E$2)+1)/DAY(EOMONTH($E$2,0))),($E$8*(DAY($H$2)/DAY(EOMONTH($H$2,0))))+J19),IF($C27&lt;$E$2,0,$E$8+J19)),IF(YEAR($J6)=YEAR($C27),J19,0)))</f>
        <v>24.999999999999993</v>
      </c>
      <c r="K20" s="27">
        <f>IF(OR($C27&gt;$H$3,$C27&lt;$E$3),K19,IF(AND($C27&gt;=$K5,$C27&lt;=$K6),IF(OR(AND(YEAR($C27)=YEAR($E$2),MONTH($E$2)=MONTH($C27)),AND(YEAR($C27)=YEAR($H$2),MONTH($H$2)=MONTH($C27))),IF(AND(YEAR($C27)=YEAR($E$2),MONTH($E$2)=MONTH($C27)),($E$8*(DAY(EOMONTH($E$2,0))-DAY($E$2)+1)/DAY(EOMONTH($E$2,0))),($E$8*(DAY($H$2)/DAY(EOMONTH($H$2,0))))+K19),IF($C27&lt;$E$2,0,$E$8+K19)),IF(YEAR($K6)=YEAR($C27),K19,0)))</f>
        <v>2.08</v>
      </c>
      <c r="L20" s="27">
        <f t="shared" si="1"/>
        <v>0</v>
      </c>
      <c r="M20" s="1"/>
      <c r="N20" s="19">
        <f t="shared" si="0"/>
        <v>27.079999999999991</v>
      </c>
      <c r="O20" s="1"/>
      <c r="P20" s="1"/>
      <c r="Q20" s="1"/>
      <c r="R20" s="30"/>
      <c r="S20" s="11">
        <f t="shared" si="4"/>
        <v>45566</v>
      </c>
      <c r="T20" s="67"/>
      <c r="U20" s="36">
        <v>0</v>
      </c>
      <c r="V20" s="1"/>
      <c r="W20" s="68">
        <f t="shared" si="5"/>
        <v>5.04</v>
      </c>
      <c r="X20" s="31"/>
      <c r="Y20" s="1"/>
      <c r="Z20" s="1"/>
      <c r="AA20" s="1"/>
      <c r="AB20" s="1"/>
      <c r="AC20" s="1"/>
      <c r="AD20" s="1"/>
      <c r="AE20" s="1"/>
      <c r="AF20" s="1"/>
    </row>
    <row r="21" spans="1:32" ht="18" customHeight="1" x14ac:dyDescent="0.2">
      <c r="A21" s="1"/>
      <c r="B21" s="78"/>
      <c r="C21" s="11">
        <f t="shared" si="2"/>
        <v>45717</v>
      </c>
      <c r="D21" s="67"/>
      <c r="E21" s="74">
        <v>0</v>
      </c>
      <c r="F21" s="79"/>
      <c r="G21" s="37">
        <f t="shared" si="3"/>
        <v>12.48</v>
      </c>
      <c r="H21" s="25"/>
      <c r="I21" s="1"/>
      <c r="J21" s="26">
        <f>IF(OR($C28&gt;$H$3,$C28&lt;$E$3),J20,IF(AND($C28&gt;=$J5,$C28&lt;=$J6),IF(OR(AND(YEAR($C28)=YEAR($E$2),MONTH($E$2)=MONTH($C28)),AND(YEAR($C28)=YEAR($H$2),MONTH($H$2)=MONTH($C28))),IF(AND(YEAR($C28)=YEAR($E$2),MONTH($E$2)=MONTH($C28)),($E$8*(DAY(EOMONTH($E$2,0))-DAY($E$2)+1)/DAY(EOMONTH($E$2,0))),($E$8*(DAY($H$2)/DAY(EOMONTH($H$2,0))))+J20),IF($C28&lt;$E$2,0,$E$8+J20)),IF(YEAR($J6)=YEAR($C28),J20,0)))</f>
        <v>24.999999999999993</v>
      </c>
      <c r="K21" s="27">
        <f>IF(OR($C28&gt;$H$3,$C28&lt;$E$3),K20,IF(AND($C28&gt;=$K5,$C28&lt;=$K6),IF(OR(AND(YEAR($C28)=YEAR($E$2),MONTH($E$2)=MONTH($C28)),AND(YEAR($C28)=YEAR($H$2),MONTH($H$2)=MONTH($C28))),IF(AND(YEAR($C28)=YEAR($E$2),MONTH($E$2)=MONTH($C28)),($E$8*(DAY(EOMONTH($E$2,0))-DAY($E$2)+1)/DAY(EOMONTH($E$2,0))),($E$8*(DAY($H$2)/DAY(EOMONTH($H$2,0))))+K20),IF($C28&lt;$E$2,0,$E$8+K20)),IF(YEAR($K6)=YEAR($C28),K20,0)))</f>
        <v>4.16</v>
      </c>
      <c r="L21" s="27">
        <f t="shared" si="1"/>
        <v>0</v>
      </c>
      <c r="M21" s="1"/>
      <c r="N21" s="19">
        <f t="shared" si="0"/>
        <v>29.159999999999993</v>
      </c>
      <c r="O21" s="1"/>
      <c r="P21" s="1"/>
      <c r="Q21" s="1"/>
      <c r="R21" s="30"/>
      <c r="S21" s="11">
        <f t="shared" si="4"/>
        <v>45597</v>
      </c>
      <c r="T21" s="67"/>
      <c r="U21" s="36">
        <v>0</v>
      </c>
      <c r="V21" s="1"/>
      <c r="W21" s="68">
        <f t="shared" si="5"/>
        <v>5.04</v>
      </c>
      <c r="X21" s="31"/>
      <c r="Y21" s="1"/>
      <c r="Z21" s="1"/>
      <c r="AA21" s="1"/>
      <c r="AB21" s="1"/>
      <c r="AC21" s="1"/>
      <c r="AD21" s="1"/>
      <c r="AE21" s="1"/>
      <c r="AF21" s="1"/>
    </row>
    <row r="22" spans="1:32" ht="18" customHeight="1" x14ac:dyDescent="0.2">
      <c r="A22" s="1"/>
      <c r="B22" s="78"/>
      <c r="C22" s="11">
        <f t="shared" si="2"/>
        <v>45748</v>
      </c>
      <c r="D22" s="67"/>
      <c r="E22" s="74">
        <v>0</v>
      </c>
      <c r="F22" s="79"/>
      <c r="G22" s="37">
        <f t="shared" si="3"/>
        <v>14.56</v>
      </c>
      <c r="H22" s="25"/>
      <c r="I22" s="1"/>
      <c r="J22" s="26">
        <f>IF(OR($C29&gt;$H$3,$C29&lt;$E$3),J21,IF(AND($C29&gt;=$J5,$C29&lt;=$J6),IF(OR(AND(YEAR($C29)=YEAR($E$2),MONTH($E$2)=MONTH($C29)),AND(YEAR($C29)=YEAR($H$2),MONTH($H$2)=MONTH($C29))),IF(AND(YEAR($C29)=YEAR($E$2),MONTH($E$2)=MONTH($C29)),($E$8*(DAY(EOMONTH($E$2,0))-DAY($E$2)+1)/DAY(EOMONTH($E$2,0))),($E$8*(DAY($H$2)/DAY(EOMONTH($H$2,0))))+J21),IF($C29&lt;$E$2,0,$E$8+J21)),IF(YEAR($J6)=YEAR($C29),J21,0)))</f>
        <v>24.999999999999993</v>
      </c>
      <c r="K22" s="27">
        <f>IF(OR($C29&gt;$H$3,$C29&lt;$E$3),K21,IF(AND($C29&gt;=$K5,$C29&lt;=$K6),IF(OR(AND(YEAR($C29)=YEAR($E$2),MONTH($E$2)=MONTH($C29)),AND(YEAR($C29)=YEAR($H$2),MONTH($H$2)=MONTH($C29))),IF(AND(YEAR($C29)=YEAR($E$2),MONTH($E$2)=MONTH($C29)),($E$8*(DAY(EOMONTH($E$2,0))-DAY($E$2)+1)/DAY(EOMONTH($E$2,0))),($E$8*(DAY($H$2)/DAY(EOMONTH($H$2,0))))+K21),IF($C29&lt;$E$2,0,$E$8+K21)),IF(YEAR($K6)=YEAR($C29),K21,0)))</f>
        <v>6.24</v>
      </c>
      <c r="L22" s="27">
        <f t="shared" si="1"/>
        <v>0</v>
      </c>
      <c r="M22" s="1"/>
      <c r="N22" s="19">
        <f t="shared" si="0"/>
        <v>31.239999999999995</v>
      </c>
      <c r="O22" s="1"/>
      <c r="P22" s="1"/>
      <c r="Q22" s="1"/>
      <c r="R22" s="30"/>
      <c r="S22" s="11">
        <f t="shared" si="4"/>
        <v>45627</v>
      </c>
      <c r="T22" s="67"/>
      <c r="U22" s="36">
        <v>0</v>
      </c>
      <c r="V22" s="1"/>
      <c r="W22" s="68">
        <f t="shared" si="5"/>
        <v>5.04</v>
      </c>
      <c r="X22" s="31"/>
      <c r="Y22" s="1"/>
      <c r="Z22" s="1"/>
      <c r="AA22" s="1"/>
      <c r="AB22" s="1"/>
      <c r="AC22" s="1"/>
      <c r="AD22" s="1"/>
      <c r="AE22" s="1"/>
      <c r="AF22" s="1"/>
    </row>
    <row r="23" spans="1:32" ht="18" customHeight="1" thickBot="1" x14ac:dyDescent="0.25">
      <c r="A23" s="1"/>
      <c r="B23" s="78"/>
      <c r="C23" s="11">
        <f t="shared" si="2"/>
        <v>45778</v>
      </c>
      <c r="D23" s="67"/>
      <c r="E23" s="74">
        <v>0</v>
      </c>
      <c r="F23" s="79"/>
      <c r="G23" s="37">
        <f t="shared" si="3"/>
        <v>16.64</v>
      </c>
      <c r="H23" s="25"/>
      <c r="I23" s="1"/>
      <c r="J23" s="38"/>
      <c r="K23" s="39"/>
      <c r="L23" s="39"/>
      <c r="M23" s="39"/>
      <c r="N23" s="40"/>
      <c r="O23" s="1"/>
      <c r="P23" s="1"/>
      <c r="Q23" s="1"/>
      <c r="R23" s="30"/>
      <c r="S23" s="11">
        <f t="shared" si="4"/>
        <v>45658</v>
      </c>
      <c r="T23" s="67"/>
      <c r="U23" s="36">
        <v>0</v>
      </c>
      <c r="V23" s="1"/>
      <c r="W23" s="68">
        <f t="shared" si="5"/>
        <v>5.04</v>
      </c>
      <c r="X23" s="31"/>
      <c r="Y23" s="1"/>
      <c r="Z23" s="1"/>
      <c r="AA23" s="1"/>
      <c r="AB23" s="1"/>
      <c r="AC23" s="1"/>
      <c r="AD23" s="1"/>
      <c r="AE23" s="1"/>
      <c r="AF23" s="1"/>
    </row>
    <row r="24" spans="1:32" ht="18" customHeight="1" x14ac:dyDescent="0.2">
      <c r="A24" s="1"/>
      <c r="B24" s="78"/>
      <c r="C24" s="11">
        <f t="shared" si="2"/>
        <v>45809</v>
      </c>
      <c r="D24" s="67"/>
      <c r="E24" s="74">
        <v>0</v>
      </c>
      <c r="F24" s="79"/>
      <c r="G24" s="37">
        <f t="shared" si="3"/>
        <v>18.72</v>
      </c>
      <c r="H24" s="25"/>
      <c r="I24" s="1"/>
      <c r="J24" s="1"/>
      <c r="K24" s="1"/>
      <c r="L24" s="1"/>
      <c r="M24" s="1"/>
      <c r="N24" s="1"/>
      <c r="O24" s="1"/>
      <c r="P24" s="1"/>
      <c r="Q24" s="1"/>
      <c r="R24" s="30"/>
      <c r="S24" s="11">
        <f t="shared" si="4"/>
        <v>45689</v>
      </c>
      <c r="T24" s="67"/>
      <c r="U24" s="36">
        <v>0</v>
      </c>
      <c r="V24" s="1"/>
      <c r="W24" s="68">
        <f t="shared" si="5"/>
        <v>5.04</v>
      </c>
      <c r="X24" s="31"/>
      <c r="Y24" s="1"/>
      <c r="Z24" s="1"/>
      <c r="AA24" s="1"/>
      <c r="AB24" s="1"/>
      <c r="AC24" s="1"/>
      <c r="AD24" s="1"/>
      <c r="AE24" s="1"/>
      <c r="AF24" s="1"/>
    </row>
    <row r="25" spans="1:32" ht="18" customHeight="1" x14ac:dyDescent="0.2">
      <c r="A25" s="1"/>
      <c r="B25" s="78"/>
      <c r="C25" s="11">
        <f t="shared" si="2"/>
        <v>45839</v>
      </c>
      <c r="D25" s="67"/>
      <c r="E25" s="74">
        <v>0</v>
      </c>
      <c r="F25" s="79"/>
      <c r="G25" s="37">
        <f t="shared" si="3"/>
        <v>20.839999999999996</v>
      </c>
      <c r="H25" s="25"/>
      <c r="I25" s="1"/>
      <c r="J25" s="41" t="s">
        <v>34</v>
      </c>
      <c r="K25" s="42"/>
      <c r="L25" s="42"/>
      <c r="M25" s="42"/>
      <c r="N25" s="43"/>
      <c r="O25" s="1"/>
      <c r="P25" s="1"/>
      <c r="Q25" s="1"/>
      <c r="R25" s="30"/>
      <c r="S25" s="11">
        <f t="shared" si="4"/>
        <v>45717</v>
      </c>
      <c r="T25" s="67"/>
      <c r="U25" s="36">
        <v>0</v>
      </c>
      <c r="V25" s="1"/>
      <c r="W25" s="68">
        <f t="shared" si="5"/>
        <v>5.04</v>
      </c>
      <c r="X25" s="31"/>
      <c r="Y25" s="1"/>
      <c r="Z25" s="1"/>
      <c r="AA25" s="1"/>
      <c r="AB25" s="1"/>
      <c r="AC25" s="1"/>
      <c r="AD25" s="1"/>
      <c r="AE25" s="1"/>
      <c r="AF25" s="1"/>
    </row>
    <row r="26" spans="1:32" ht="18" customHeight="1" x14ac:dyDescent="0.2">
      <c r="A26" s="1"/>
      <c r="B26" s="23"/>
      <c r="C26" s="69">
        <f t="shared" si="2"/>
        <v>45870</v>
      </c>
      <c r="D26" s="70"/>
      <c r="E26" s="75">
        <v>0</v>
      </c>
      <c r="F26" s="79"/>
      <c r="G26" s="73">
        <f t="shared" si="3"/>
        <v>22.919999999999995</v>
      </c>
      <c r="H26" s="25"/>
      <c r="I26" s="1"/>
      <c r="J26" s="44"/>
      <c r="K26" s="11">
        <f>+J29</f>
        <v>44927</v>
      </c>
      <c r="L26" s="11"/>
      <c r="M26" s="1"/>
      <c r="N26" s="45"/>
      <c r="O26" s="1"/>
      <c r="P26" s="1"/>
      <c r="Q26" s="1"/>
      <c r="R26" s="30"/>
      <c r="S26" s="11">
        <f t="shared" si="4"/>
        <v>45748</v>
      </c>
      <c r="T26" s="67"/>
      <c r="U26" s="36">
        <v>0</v>
      </c>
      <c r="V26" s="1"/>
      <c r="W26" s="72">
        <f t="shared" si="5"/>
        <v>5.04</v>
      </c>
      <c r="X26" s="31"/>
      <c r="Y26" s="1"/>
      <c r="Z26" s="1"/>
      <c r="AA26" s="1"/>
      <c r="AB26" s="1"/>
      <c r="AC26" s="1"/>
      <c r="AD26" s="1"/>
      <c r="AE26" s="1"/>
      <c r="AF26" s="1"/>
    </row>
    <row r="27" spans="1:32" ht="18" customHeight="1" x14ac:dyDescent="0.2">
      <c r="A27" s="1"/>
      <c r="B27" s="23"/>
      <c r="C27" s="11">
        <f t="shared" si="2"/>
        <v>45901</v>
      </c>
      <c r="D27" s="67"/>
      <c r="E27" s="74">
        <v>0</v>
      </c>
      <c r="F27" s="79"/>
      <c r="G27" s="71">
        <f t="shared" si="3"/>
        <v>24.999999999999993</v>
      </c>
      <c r="H27" s="25"/>
      <c r="I27" s="1"/>
      <c r="J27" s="44"/>
      <c r="K27" s="46">
        <f>+J40</f>
        <v>45261</v>
      </c>
      <c r="L27" s="47" t="s">
        <v>35</v>
      </c>
      <c r="M27" s="1"/>
      <c r="N27" s="48" t="s">
        <v>36</v>
      </c>
      <c r="O27" s="1"/>
      <c r="P27" s="47"/>
      <c r="Q27" s="1"/>
      <c r="R27" s="30"/>
      <c r="S27" s="11"/>
      <c r="T27" s="49" t="s">
        <v>37</v>
      </c>
      <c r="U27" s="50">
        <f>+SUM(U14:U26)</f>
        <v>0</v>
      </c>
      <c r="V27" s="1"/>
      <c r="W27" s="27"/>
      <c r="X27" s="31"/>
      <c r="Y27" s="1"/>
      <c r="Z27" s="1"/>
      <c r="AA27" s="1"/>
      <c r="AB27" s="1"/>
      <c r="AC27" s="1"/>
      <c r="AD27" s="1"/>
      <c r="AE27" s="1"/>
      <c r="AF27" s="1"/>
    </row>
    <row r="28" spans="1:32" ht="18" customHeight="1" x14ac:dyDescent="0.2">
      <c r="A28" s="1"/>
      <c r="B28" s="23"/>
      <c r="C28" s="11">
        <f t="shared" si="2"/>
        <v>45931</v>
      </c>
      <c r="D28" s="67"/>
      <c r="E28" s="74">
        <v>0</v>
      </c>
      <c r="F28" s="79"/>
      <c r="G28" s="37">
        <f t="shared" si="3"/>
        <v>27.079999999999991</v>
      </c>
      <c r="H28" s="25"/>
      <c r="I28" s="1"/>
      <c r="J28" s="44"/>
      <c r="K28" s="47">
        <v>0</v>
      </c>
      <c r="L28" s="18">
        <f>+U12</f>
        <v>0</v>
      </c>
      <c r="M28" s="1"/>
      <c r="N28" s="51">
        <f t="shared" ref="N28:N40" si="6">+SUM(K28:L28)</f>
        <v>0</v>
      </c>
      <c r="O28" s="1"/>
      <c r="P28" s="1"/>
      <c r="Q28" s="1"/>
      <c r="R28" s="30"/>
      <c r="S28" s="11"/>
      <c r="T28" s="49"/>
      <c r="U28" s="50"/>
      <c r="V28" s="1"/>
      <c r="W28" s="27"/>
      <c r="X28" s="31"/>
      <c r="Y28" s="11"/>
      <c r="Z28" s="27"/>
      <c r="AA28" s="27"/>
      <c r="AB28" s="27"/>
      <c r="AC28" s="1"/>
      <c r="AD28" s="27"/>
      <c r="AE28" s="52"/>
      <c r="AF28" s="1"/>
    </row>
    <row r="29" spans="1:32" ht="18" customHeight="1" x14ac:dyDescent="0.2">
      <c r="A29" s="1"/>
      <c r="B29" s="23"/>
      <c r="C29" s="11">
        <f t="shared" si="2"/>
        <v>45962</v>
      </c>
      <c r="D29" s="67"/>
      <c r="E29" s="74">
        <v>0</v>
      </c>
      <c r="F29" s="79"/>
      <c r="G29" s="37">
        <f t="shared" si="3"/>
        <v>29.159999999999989</v>
      </c>
      <c r="H29" s="25"/>
      <c r="I29" s="1"/>
      <c r="J29" s="53">
        <f>DATE(YEAR($E$6)-1, 1, 1)</f>
        <v>44927</v>
      </c>
      <c r="K29" s="27">
        <f t="shared" ref="K29:K40" si="7">IF(OR($J29&gt;$H$3,$J29&lt;$E$3),K28,IF(AND($J29&gt;=K$26,$J29&lt;=K$27),IF(OR(AND(YEAR($J29)=YEAR($E$2),MONTH($E$2)=MONTH($J29)),AND(YEAR($J29)=YEAR($H$2),MONTH($H$2)=MONTH($J29))),IF(AND(YEAR($J29)=YEAR($E$2),MONTH($E$2)=MONTH($J29)),($U$8*(DAY(EOMONTH($E$2,0))-DAY($E$2)+1)/DAY(EOMONTH($E$2,0))),($U$8*(DAY($H$2)/DAY(EOMONTH($H$2,0))))+K28),IF($J29&lt;$E$2,0,$U$8+K28)),IF(YEAR(K$27)=YEAR($J29),K28,0)))</f>
        <v>0.42</v>
      </c>
      <c r="L29" s="28">
        <f>+L28</f>
        <v>0</v>
      </c>
      <c r="M29" s="1"/>
      <c r="N29" s="51">
        <f t="shared" si="6"/>
        <v>0.42</v>
      </c>
      <c r="O29" s="1"/>
      <c r="P29" s="1"/>
      <c r="Q29" s="1"/>
      <c r="R29" s="30"/>
      <c r="S29" s="80"/>
      <c r="T29" s="80"/>
      <c r="U29" s="80"/>
      <c r="V29" s="80"/>
      <c r="W29" s="80"/>
      <c r="X29" s="31"/>
      <c r="Y29" s="11"/>
      <c r="Z29" s="27"/>
      <c r="AA29" s="27"/>
      <c r="AB29" s="27"/>
      <c r="AC29" s="1"/>
      <c r="AD29" s="27"/>
      <c r="AE29" s="1"/>
      <c r="AF29" s="1"/>
    </row>
    <row r="30" spans="1:32" ht="18" customHeight="1" x14ac:dyDescent="0.2">
      <c r="A30" s="1"/>
      <c r="B30" s="23"/>
      <c r="C30" s="11">
        <f t="shared" si="2"/>
        <v>45992</v>
      </c>
      <c r="D30" s="67"/>
      <c r="E30" s="74">
        <v>0</v>
      </c>
      <c r="F30" s="1"/>
      <c r="G30" s="37">
        <f>+SUM(0,2.08)+G29-E30</f>
        <v>31.239999999999988</v>
      </c>
      <c r="H30" s="25"/>
      <c r="I30" s="1"/>
      <c r="J30" s="54">
        <f t="shared" ref="J30:J40" si="8">+EDATE(J29,1)</f>
        <v>44958</v>
      </c>
      <c r="K30" s="27">
        <f t="shared" si="7"/>
        <v>0.84</v>
      </c>
      <c r="L30" s="27">
        <f>+L28</f>
        <v>0</v>
      </c>
      <c r="M30" s="1"/>
      <c r="N30" s="51">
        <f t="shared" si="6"/>
        <v>0.84</v>
      </c>
      <c r="O30" s="1"/>
      <c r="P30" s="1"/>
      <c r="Q30" s="1"/>
      <c r="R30" s="30"/>
      <c r="S30" s="11"/>
      <c r="T30" s="1"/>
      <c r="U30" s="1"/>
      <c r="V30" s="11"/>
      <c r="W30" s="1"/>
      <c r="X30" s="31"/>
      <c r="Y30" s="1"/>
      <c r="Z30" s="1"/>
      <c r="AA30" s="1"/>
      <c r="AB30" s="1"/>
      <c r="AC30" s="1"/>
      <c r="AD30" s="1"/>
      <c r="AE30" s="1"/>
      <c r="AF30" s="1"/>
    </row>
    <row r="31" spans="1:32" ht="18" customHeight="1" x14ac:dyDescent="0.2">
      <c r="A31" s="1"/>
      <c r="B31" s="23"/>
      <c r="C31" s="1"/>
      <c r="D31" s="49" t="s">
        <v>37</v>
      </c>
      <c r="E31" s="50">
        <f>+SUM(E15:E30)</f>
        <v>0</v>
      </c>
      <c r="F31" s="1"/>
      <c r="G31" s="1"/>
      <c r="H31" s="25"/>
      <c r="I31" s="1"/>
      <c r="J31" s="54">
        <f t="shared" si="8"/>
        <v>44986</v>
      </c>
      <c r="K31" s="27">
        <f t="shared" si="7"/>
        <v>1.26</v>
      </c>
      <c r="L31" s="27">
        <f t="shared" ref="L31:L40" si="9">+L30</f>
        <v>0</v>
      </c>
      <c r="M31" s="1"/>
      <c r="N31" s="51">
        <f t="shared" si="6"/>
        <v>1.26</v>
      </c>
      <c r="O31" s="1"/>
      <c r="P31" s="1"/>
      <c r="Q31" s="1"/>
      <c r="R31" s="30"/>
      <c r="S31" s="1"/>
      <c r="T31" s="1"/>
      <c r="U31" s="1"/>
      <c r="V31" s="11"/>
      <c r="W31" s="1"/>
      <c r="X31" s="31"/>
      <c r="Y31" s="1"/>
      <c r="Z31" s="1"/>
      <c r="AA31" s="1"/>
      <c r="AB31" s="1"/>
      <c r="AC31" s="1"/>
      <c r="AD31" s="1"/>
      <c r="AE31" s="1"/>
      <c r="AF31" s="1"/>
    </row>
    <row r="32" spans="1:32" ht="18" customHeight="1" x14ac:dyDescent="0.2">
      <c r="A32" s="1"/>
      <c r="B32" s="23"/>
      <c r="C32" s="1"/>
      <c r="D32" s="1"/>
      <c r="E32" s="1"/>
      <c r="F32" s="1"/>
      <c r="G32" s="1"/>
      <c r="H32" s="25"/>
      <c r="I32" s="1"/>
      <c r="J32" s="54">
        <f t="shared" si="8"/>
        <v>45017</v>
      </c>
      <c r="K32" s="27">
        <f t="shared" si="7"/>
        <v>1.68</v>
      </c>
      <c r="L32" s="27">
        <f t="shared" si="9"/>
        <v>0</v>
      </c>
      <c r="M32" s="1"/>
      <c r="N32" s="51">
        <f t="shared" si="6"/>
        <v>1.68</v>
      </c>
      <c r="O32" s="1"/>
      <c r="P32" s="1"/>
      <c r="Q32" s="1"/>
      <c r="R32" s="30"/>
      <c r="S32" s="1"/>
      <c r="T32" s="1"/>
      <c r="U32" s="1"/>
      <c r="V32" s="11"/>
      <c r="W32" s="1"/>
      <c r="X32" s="31"/>
      <c r="Y32" s="1"/>
      <c r="Z32" s="1"/>
      <c r="AA32" s="1"/>
      <c r="AB32" s="1"/>
      <c r="AC32" s="1"/>
      <c r="AD32" s="1"/>
      <c r="AE32" s="1"/>
      <c r="AF32" s="1"/>
    </row>
    <row r="33" spans="1:32" ht="43.5" customHeight="1" x14ac:dyDescent="0.2">
      <c r="A33" s="1"/>
      <c r="B33" s="55"/>
      <c r="C33" s="76" t="s">
        <v>48</v>
      </c>
      <c r="D33" s="81"/>
      <c r="E33" s="81"/>
      <c r="F33" s="81"/>
      <c r="G33" s="81"/>
      <c r="H33" s="25"/>
      <c r="I33" s="1"/>
      <c r="J33" s="54">
        <f t="shared" si="8"/>
        <v>45047</v>
      </c>
      <c r="K33" s="27">
        <f t="shared" si="7"/>
        <v>2.1</v>
      </c>
      <c r="L33" s="27">
        <f t="shared" si="9"/>
        <v>0</v>
      </c>
      <c r="M33" s="1"/>
      <c r="N33" s="51">
        <f t="shared" si="6"/>
        <v>2.1</v>
      </c>
      <c r="O33" s="1"/>
      <c r="P33" s="1"/>
      <c r="Q33" s="1"/>
      <c r="R33" s="30"/>
      <c r="S33" s="82" t="s">
        <v>38</v>
      </c>
      <c r="T33" s="83"/>
      <c r="U33" s="83"/>
      <c r="V33" s="83"/>
      <c r="W33" s="83"/>
      <c r="X33" s="31"/>
      <c r="Y33" s="1"/>
      <c r="Z33" s="1"/>
      <c r="AA33" s="1"/>
      <c r="AB33" s="1"/>
      <c r="AC33" s="1"/>
      <c r="AD33" s="1"/>
      <c r="AE33" s="1"/>
      <c r="AF33" s="1"/>
    </row>
    <row r="34" spans="1:32" ht="30" customHeight="1" x14ac:dyDescent="0.2">
      <c r="A34" s="1"/>
      <c r="B34" s="55"/>
      <c r="C34" s="76" t="s">
        <v>39</v>
      </c>
      <c r="D34" s="76"/>
      <c r="E34" s="76"/>
      <c r="F34" s="76"/>
      <c r="G34" s="76"/>
      <c r="H34" s="25"/>
      <c r="I34" s="1"/>
      <c r="J34" s="54">
        <f>+EDATE(J33,1)</f>
        <v>45078</v>
      </c>
      <c r="K34" s="27">
        <f>IF(OR($J34&gt;$H$3,$J34&lt;$E$3),K33,IF(AND($J34&gt;=K$26,$J34&lt;=K$27),IF(OR(AND(YEAR($J34)=YEAR($E$2),MONTH($E$2)=MONTH($J34)),AND(YEAR($J34)=YEAR($H$2),MONTH($H$2)=MONTH($J34))),IF(AND(YEAR($J34)=YEAR($E$2),MONTH($E$2)=MONTH($J34)),($U$8*(DAY(EOMONTH($E$2,0))-DAY($E$2)+1)/DAY(EOMONTH($E$2,0))),($U$8*(DAY($H$2)/DAY(EOMONTH($H$2,0))))+K33),IF($J34&lt;$E$2,0,$U$8+K33)),IF(YEAR(K$27)=YEAR($J34),K33,0)))</f>
        <v>2.52</v>
      </c>
      <c r="L34" s="27">
        <f>+L33</f>
        <v>0</v>
      </c>
      <c r="M34" s="1"/>
      <c r="N34" s="51">
        <f t="shared" si="6"/>
        <v>2.52</v>
      </c>
      <c r="O34" s="1"/>
      <c r="P34" s="1"/>
      <c r="Q34" s="1"/>
      <c r="R34" s="30"/>
      <c r="S34" s="1"/>
      <c r="T34" s="1"/>
      <c r="U34" s="1"/>
      <c r="V34" s="11"/>
      <c r="W34" s="1"/>
      <c r="X34" s="31"/>
      <c r="Y34" s="1"/>
      <c r="Z34" s="1"/>
      <c r="AA34" s="1"/>
      <c r="AB34" s="1"/>
      <c r="AC34" s="1"/>
      <c r="AD34" s="1"/>
      <c r="AE34" s="1"/>
      <c r="AF34" s="1"/>
    </row>
    <row r="35" spans="1:32" ht="30" customHeight="1" x14ac:dyDescent="0.2">
      <c r="A35" s="1"/>
      <c r="B35" s="55"/>
      <c r="C35" s="76" t="s">
        <v>40</v>
      </c>
      <c r="D35" s="76"/>
      <c r="E35" s="76"/>
      <c r="F35" s="76"/>
      <c r="G35" s="76"/>
      <c r="H35" s="25"/>
      <c r="I35" s="1"/>
      <c r="J35" s="54">
        <f t="shared" si="8"/>
        <v>45108</v>
      </c>
      <c r="K35" s="27">
        <f t="shared" si="7"/>
        <v>2.94</v>
      </c>
      <c r="L35" s="27">
        <f t="shared" si="9"/>
        <v>0</v>
      </c>
      <c r="M35" s="1"/>
      <c r="N35" s="51">
        <f t="shared" si="6"/>
        <v>2.94</v>
      </c>
      <c r="O35" s="1"/>
      <c r="P35" s="1"/>
      <c r="Q35" s="1"/>
      <c r="R35" s="30"/>
      <c r="S35" s="1"/>
      <c r="T35" s="1"/>
      <c r="U35" s="1"/>
      <c r="V35" s="11"/>
      <c r="W35" s="1"/>
      <c r="X35" s="31"/>
      <c r="Y35" s="1"/>
      <c r="Z35" s="1"/>
      <c r="AA35" s="1"/>
      <c r="AB35" s="1"/>
      <c r="AC35" s="1"/>
      <c r="AD35" s="1"/>
      <c r="AE35" s="1"/>
      <c r="AF35" s="1"/>
    </row>
    <row r="36" spans="1:32" ht="30" customHeight="1" thickBot="1" x14ac:dyDescent="0.25">
      <c r="A36" s="1"/>
      <c r="B36" s="56"/>
      <c r="C36" s="77" t="s">
        <v>41</v>
      </c>
      <c r="D36" s="77"/>
      <c r="E36" s="77"/>
      <c r="F36" s="77"/>
      <c r="G36" s="77"/>
      <c r="H36" s="57"/>
      <c r="I36" s="1"/>
      <c r="J36" s="54">
        <f t="shared" si="8"/>
        <v>45139</v>
      </c>
      <c r="K36" s="27">
        <f t="shared" si="7"/>
        <v>3.36</v>
      </c>
      <c r="L36" s="27">
        <f t="shared" si="9"/>
        <v>0</v>
      </c>
      <c r="M36" s="1"/>
      <c r="N36" s="51">
        <f t="shared" si="6"/>
        <v>3.36</v>
      </c>
      <c r="O36" s="1"/>
      <c r="P36" s="1"/>
      <c r="Q36" s="1"/>
      <c r="R36" s="58"/>
      <c r="S36" s="59"/>
      <c r="T36" s="59"/>
      <c r="U36" s="59"/>
      <c r="V36" s="60"/>
      <c r="W36" s="59"/>
      <c r="X36" s="61"/>
      <c r="Y36" s="1"/>
      <c r="Z36" s="1"/>
      <c r="AA36" s="1"/>
      <c r="AB36" s="1"/>
      <c r="AC36" s="1"/>
      <c r="AD36" s="1"/>
      <c r="AE36" s="1"/>
      <c r="AF36" s="1"/>
    </row>
    <row r="37" spans="1:32" ht="18" customHeight="1" thickTop="1" x14ac:dyDescent="0.2">
      <c r="A37" s="1"/>
      <c r="B37" s="62"/>
      <c r="C37" s="62"/>
      <c r="D37" s="62"/>
      <c r="E37" s="62"/>
      <c r="F37" s="62"/>
      <c r="G37" s="62"/>
      <c r="H37" s="1"/>
      <c r="I37" s="1"/>
      <c r="J37" s="54">
        <f t="shared" si="8"/>
        <v>45170</v>
      </c>
      <c r="K37" s="27">
        <f t="shared" si="7"/>
        <v>3.78</v>
      </c>
      <c r="L37" s="27">
        <f t="shared" si="9"/>
        <v>0</v>
      </c>
      <c r="M37" s="1"/>
      <c r="N37" s="51">
        <f t="shared" si="6"/>
        <v>3.78</v>
      </c>
      <c r="O37" s="1"/>
      <c r="P37" s="1"/>
      <c r="Q37" s="1"/>
      <c r="R37" s="1"/>
      <c r="S37" s="1"/>
      <c r="T37" s="1"/>
      <c r="U37" s="1"/>
      <c r="V37" s="1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" customHeight="1" x14ac:dyDescent="0.2">
      <c r="A38" s="1"/>
      <c r="B38" s="62"/>
      <c r="C38" s="62"/>
      <c r="D38" s="62"/>
      <c r="E38" s="62"/>
      <c r="F38" s="62"/>
      <c r="G38" s="62"/>
      <c r="H38" s="1"/>
      <c r="I38" s="1"/>
      <c r="J38" s="54">
        <f t="shared" si="8"/>
        <v>45200</v>
      </c>
      <c r="K38" s="27">
        <f t="shared" si="7"/>
        <v>4.2</v>
      </c>
      <c r="L38" s="27">
        <f t="shared" si="9"/>
        <v>0</v>
      </c>
      <c r="M38" s="1"/>
      <c r="N38" s="51">
        <f t="shared" si="6"/>
        <v>4.2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" customHeight="1" x14ac:dyDescent="0.2">
      <c r="A39" s="1"/>
      <c r="B39" s="62"/>
      <c r="C39" s="62"/>
      <c r="D39" s="62"/>
      <c r="E39" s="62"/>
      <c r="F39" s="62"/>
      <c r="G39" s="62"/>
      <c r="H39" s="1"/>
      <c r="I39" s="1"/>
      <c r="J39" s="54">
        <f t="shared" si="8"/>
        <v>45231</v>
      </c>
      <c r="K39" s="27">
        <f t="shared" si="7"/>
        <v>4.62</v>
      </c>
      <c r="L39" s="27">
        <f t="shared" si="9"/>
        <v>0</v>
      </c>
      <c r="M39" s="1"/>
      <c r="N39" s="51">
        <f t="shared" si="6"/>
        <v>4.62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63">
        <f t="shared" si="8"/>
        <v>45261</v>
      </c>
      <c r="K40" s="64">
        <f t="shared" si="7"/>
        <v>5.04</v>
      </c>
      <c r="L40" s="64">
        <f t="shared" si="9"/>
        <v>0</v>
      </c>
      <c r="M40" s="65"/>
      <c r="N40" s="66">
        <f t="shared" si="6"/>
        <v>5.04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</sheetData>
  <sheetProtection sheet="1" selectLockedCells="1"/>
  <mergeCells count="8">
    <mergeCell ref="C35:G35"/>
    <mergeCell ref="C36:G36"/>
    <mergeCell ref="B16:B25"/>
    <mergeCell ref="F16:F29"/>
    <mergeCell ref="S29:W29"/>
    <mergeCell ref="C33:G33"/>
    <mergeCell ref="S33:W33"/>
    <mergeCell ref="C34:G34"/>
  </mergeCells>
  <dataValidations count="1">
    <dataValidation type="whole" allowBlank="1" showInputMessage="1" showErrorMessage="1" errorTitle="Number not accepted" error="Ordinary holiday can only be taken in full days._x000a__x000a_Enter a whole number" promptTitle="Input the number of days taken" prompt="Ordinary holiday can only be taken as full days. Enter a whole number for the days taken. " sqref="E15:E30" xr:uid="{00000000-0002-0000-0000-000000000000}">
      <formula1>0</formula1>
      <formula2>100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Hidden!$B$2:$B$21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A2" sqref="A2"/>
    </sheetView>
  </sheetViews>
  <sheetFormatPr defaultRowHeight="12.75" x14ac:dyDescent="0.2"/>
  <sheetData>
    <row r="1" spans="1:3" x14ac:dyDescent="0.2">
      <c r="A1" t="s">
        <v>42</v>
      </c>
    </row>
    <row r="2" spans="1:3" x14ac:dyDescent="0.2">
      <c r="B2" t="s">
        <v>0</v>
      </c>
      <c r="C2">
        <v>2020</v>
      </c>
    </row>
    <row r="3" spans="1:3" x14ac:dyDescent="0.2">
      <c r="B3" t="s">
        <v>1</v>
      </c>
      <c r="C3">
        <v>2021</v>
      </c>
    </row>
    <row r="4" spans="1:3" x14ac:dyDescent="0.2">
      <c r="B4" t="s">
        <v>2</v>
      </c>
      <c r="C4">
        <v>2022</v>
      </c>
    </row>
    <row r="5" spans="1:3" x14ac:dyDescent="0.2">
      <c r="B5" t="s">
        <v>3</v>
      </c>
      <c r="C5">
        <v>2023</v>
      </c>
    </row>
    <row r="6" spans="1:3" x14ac:dyDescent="0.2">
      <c r="B6" t="s">
        <v>4</v>
      </c>
      <c r="C6">
        <v>2024</v>
      </c>
    </row>
    <row r="7" spans="1:3" x14ac:dyDescent="0.2">
      <c r="B7" t="s">
        <v>5</v>
      </c>
      <c r="C7">
        <v>2025</v>
      </c>
    </row>
    <row r="8" spans="1:3" x14ac:dyDescent="0.2">
      <c r="B8" t="s">
        <v>6</v>
      </c>
      <c r="C8">
        <v>2026</v>
      </c>
    </row>
    <row r="9" spans="1:3" x14ac:dyDescent="0.2">
      <c r="B9" t="s">
        <v>7</v>
      </c>
      <c r="C9">
        <v>2027</v>
      </c>
    </row>
    <row r="10" spans="1:3" x14ac:dyDescent="0.2">
      <c r="B10" t="s">
        <v>8</v>
      </c>
      <c r="C10">
        <v>2028</v>
      </c>
    </row>
    <row r="11" spans="1:3" x14ac:dyDescent="0.2">
      <c r="B11" t="s">
        <v>9</v>
      </c>
      <c r="C11">
        <v>2029</v>
      </c>
    </row>
    <row r="12" spans="1:3" x14ac:dyDescent="0.2">
      <c r="B12" t="s">
        <v>10</v>
      </c>
      <c r="C12">
        <v>2030</v>
      </c>
    </row>
    <row r="13" spans="1:3" x14ac:dyDescent="0.2">
      <c r="B13" t="s">
        <v>11</v>
      </c>
      <c r="C13">
        <v>2031</v>
      </c>
    </row>
    <row r="14" spans="1:3" x14ac:dyDescent="0.2">
      <c r="B14" t="s">
        <v>12</v>
      </c>
      <c r="C14">
        <v>2032</v>
      </c>
    </row>
    <row r="15" spans="1:3" x14ac:dyDescent="0.2">
      <c r="B15" t="s">
        <v>13</v>
      </c>
      <c r="C15">
        <v>2033</v>
      </c>
    </row>
    <row r="16" spans="1:3" x14ac:dyDescent="0.2">
      <c r="B16" t="s">
        <v>14</v>
      </c>
      <c r="C16">
        <v>2034</v>
      </c>
    </row>
    <row r="17" spans="2:3" x14ac:dyDescent="0.2">
      <c r="B17" t="s">
        <v>15</v>
      </c>
      <c r="C17">
        <v>2035</v>
      </c>
    </row>
    <row r="18" spans="2:3" x14ac:dyDescent="0.2">
      <c r="B18" t="s">
        <v>16</v>
      </c>
      <c r="C18">
        <v>2036</v>
      </c>
    </row>
    <row r="19" spans="2:3" x14ac:dyDescent="0.2">
      <c r="B19" t="s">
        <v>17</v>
      </c>
      <c r="C19">
        <v>2037</v>
      </c>
    </row>
    <row r="20" spans="2:3" x14ac:dyDescent="0.2">
      <c r="B20" t="s">
        <v>18</v>
      </c>
      <c r="C20">
        <v>2038</v>
      </c>
    </row>
    <row r="21" spans="2:3" x14ac:dyDescent="0.2">
      <c r="B21" t="s">
        <v>19</v>
      </c>
      <c r="C21">
        <v>2039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836BC33D1E5846BD77C269C61838DB" ma:contentTypeVersion="18" ma:contentTypeDescription="Opret et nyt dokument." ma:contentTypeScope="" ma:versionID="8dd32db9bc292d5b2ef4720d83bb2988">
  <xsd:schema xmlns:xsd="http://www.w3.org/2001/XMLSchema" xmlns:xs="http://www.w3.org/2001/XMLSchema" xmlns:p="http://schemas.microsoft.com/office/2006/metadata/properties" xmlns:ns3="e064323b-8959-406a-a3e9-bb6e93638192" xmlns:ns4="f659a008-7c21-4ee3-a745-e38581e13101" targetNamespace="http://schemas.microsoft.com/office/2006/metadata/properties" ma:root="true" ma:fieldsID="f59794518e09706d055c4b8329d55521" ns3:_="" ns4:_="">
    <xsd:import namespace="e064323b-8959-406a-a3e9-bb6e93638192"/>
    <xsd:import namespace="f659a008-7c21-4ee3-a745-e38581e131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323b-8959-406a-a3e9-bb6e936381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9a008-7c21-4ee3-a745-e38581e13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59a008-7c21-4ee3-a745-e38581e13101" xsi:nil="true"/>
  </documentManagement>
</p:properties>
</file>

<file path=customXml/itemProps1.xml><?xml version="1.0" encoding="utf-8"?>
<ds:datastoreItem xmlns:ds="http://schemas.openxmlformats.org/officeDocument/2006/customXml" ds:itemID="{2313F3D4-AEC0-4DA2-95A2-F9E08F8D3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7C9AD-75DB-43B1-92FA-81BE6A894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4323b-8959-406a-a3e9-bb6e93638192"/>
    <ds:schemaRef ds:uri="f659a008-7c21-4ee3-a745-e38581e13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55264-21C0-4BF1-B005-C6BDCEE7527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f659a008-7c21-4ee3-a745-e38581e13101"/>
    <ds:schemaRef ds:uri="e064323b-8959-406a-a3e9-bb6e936381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Calculation</vt:lpstr>
      <vt:lpstr>Hidden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Nykola Jones</dc:creator>
  <cp:lastModifiedBy>Heidi Pedersen</cp:lastModifiedBy>
  <dcterms:created xsi:type="dcterms:W3CDTF">2024-06-19T14:02:31Z</dcterms:created>
  <dcterms:modified xsi:type="dcterms:W3CDTF">2024-08-16T11:57:54Z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0x01010056836BC33D1E5846BD77C269C61838DB</vt:lpwstr>
  </property>
</Properties>
</file>